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lient projects - Restricted\CER-030 I-SEM DCs\WS1 - I-SEM Validation\3_Model\11_Master\2017 I-SEM_Master model\Tools\"/>
    </mc:Choice>
  </mc:AlternateContent>
  <bookViews>
    <workbookView xWindow="0" yWindow="0" windowWidth="25200" windowHeight="11385" tabRatio="774"/>
  </bookViews>
  <sheets>
    <sheet name="Info" sheetId="57" r:id="rId1"/>
    <sheet name="Fixed inputs" sheetId="49" r:id="rId2"/>
    <sheet name="Commodity inputs and calcs" sheetId="54" r:id="rId3"/>
    <sheet name="Fuel adder inputs and calcs" sheetId="56" r:id="rId4"/>
    <sheet name="Commodity prices for PLEXOS" sheetId="55" r:id="rId5"/>
  </sheet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1</definedName>
    <definedName name="_AtRisk_SimSetting_StdRecalcWithoutRiskStatic" hidden="1">0</definedName>
    <definedName name="_AtRisk_SimSetting_StdRecalcWithoutRiskStaticPercentile" hidden="1">0.5</definedName>
    <definedName name="_xlnm._FilterDatabase" localSheetId="4" hidden="1">'Commodity prices for PLEXOS'!$G$10:$R$82</definedName>
    <definedName name="active_co2">#REF!</definedName>
    <definedName name="active_coal">#REF!</definedName>
    <definedName name="active_fuel_results">#REF!</definedName>
    <definedName name="active_gas">#REF!</definedName>
    <definedName name="active_gasoil">#REF!</definedName>
    <definedName name="active_lsfo">#REF!</definedName>
    <definedName name="active_scenario_prices_euros">#REF!</definedName>
    <definedName name="Additional_Check_on_consistency_of_Quarters">#REF!</definedName>
    <definedName name="CARBON_BLOCK">#REF!</definedName>
    <definedName name="carbon_header">#REF!</definedName>
    <definedName name="Carbon_Output_Headers">#REF!</definedName>
    <definedName name="cellLECAdjust">#REF!</definedName>
    <definedName name="cellPriceAdjust">#REF!</definedName>
    <definedName name="cellROCAdjust">#REF!</definedName>
    <definedName name="cellROCHandle">#REF!</definedName>
    <definedName name="cellScenarioName">#REF!</definedName>
    <definedName name="COAL_BLOCK">#REF!</definedName>
    <definedName name="coal_header">#REF!</definedName>
    <definedName name="coalCV">'Fixed inputs'!$D$24</definedName>
    <definedName name="consecutive_QUARTERSs">#REF!</definedName>
    <definedName name="EUR">'Fixed inputs'!#REF!</definedName>
    <definedName name="EUR_DET">'Commodity inputs and calcs'!$D$7</definedName>
    <definedName name="euro_price_output_header_row">#REF!</definedName>
    <definedName name="f">#REF!</definedName>
    <definedName name="first_q_scenarios">#REF!</definedName>
    <definedName name="first_quarter_modeled">#REF!</definedName>
    <definedName name="first_run_all">#REF!</definedName>
    <definedName name="first_year_of_SEM_year_modeled">'Fixed inputs'!#REF!</definedName>
    <definedName name="flag_co2">#REF!</definedName>
    <definedName name="flag_coal">#REF!</definedName>
    <definedName name="flag_gas">#REF!</definedName>
    <definedName name="flag_gasoil">#REF!</definedName>
    <definedName name="fuel_header_for_int_macro_run">#REF!</definedName>
    <definedName name="Fuel_Output_Headers" localSheetId="4">'Commodity prices for PLEXOS'!$G$10:$R$10</definedName>
    <definedName name="Fuel_Output_Headers">#REF!</definedName>
    <definedName name="GAS_BLOCK">#REF!</definedName>
    <definedName name="Gas_header">#REF!</definedName>
    <definedName name="GASOIL_BLOCK">#REF!</definedName>
    <definedName name="gasoil_header">#REF!</definedName>
    <definedName name="GasoilCV">'Fixed inputs'!$D$26</definedName>
    <definedName name="GBP">'Fixed inputs'!#REF!</definedName>
    <definedName name="GBP_DET">'Commodity inputs and calcs'!$D$6</definedName>
    <definedName name="Input_blocks_row_scenario_and_prices">#REF!</definedName>
    <definedName name="Internal_Check">#REF!</definedName>
    <definedName name="jhs">#REF!</definedName>
    <definedName name="LSFO_BLOCK">#REF!</definedName>
    <definedName name="LSFO_header">#REF!</definedName>
    <definedName name="LSFOCV">'Fixed inputs'!$D$27</definedName>
    <definedName name="natural_2_euro_unit_label_lookup">#REF!</definedName>
    <definedName name="num_quarters_in_scenarios">#REF!</definedName>
    <definedName name="Number_Quarters_in_Red_Point_Model">#REF!</definedName>
    <definedName name="output_start_Cell">#REF!</definedName>
    <definedName name="paste_active_scenario_prices_here">#REF!</definedName>
    <definedName name="PLEXOS_carbon_data">#REF!</definedName>
    <definedName name="PLEXOS_carbon_output">#REF!</definedName>
    <definedName name="PLEXOS_fuel_data">#REF!</definedName>
    <definedName name="PLEXOS_fuel_output">#REF!</definedName>
    <definedName name="possible_co2">#REF!</definedName>
    <definedName name="possible_coal">#REF!</definedName>
    <definedName name="possible_fuel_combinations">#REF!</definedName>
    <definedName name="possible_gas">#REF!</definedName>
    <definedName name="possible_gasoil">#REF!</definedName>
    <definedName name="possible_lsfo">#REF!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2030000</definedName>
    <definedName name="RiskHasSettings" hidden="1">5</definedName>
    <definedName name="RiskMinimizeOnStart" hidden="1">FALSE</definedName>
    <definedName name="RiskMonitorConvergence" hidden="1">FALSE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TRUE</definedName>
    <definedName name="RiskUseMultipleCPUs" hidden="1">FALSE</definedName>
    <definedName name="rngCarbonTax">#REF!</definedName>
    <definedName name="rngCarbonTaxDeterministic">'Commodity inputs and calcs'!$N$28:$P$35</definedName>
    <definedName name="RngCommodityNames">#REF!</definedName>
    <definedName name="rngFuelPrices">#REF!</definedName>
    <definedName name="rngFuelPrices2">#REF!</definedName>
    <definedName name="rngFuelPricesDeterministic">'Commodity inputs and calcs'!$M$14:$P$21</definedName>
    <definedName name="rngFuels">'Fixed inputs'!$C$34:$C$37</definedName>
    <definedName name="rngMarkets">'Fixed inputs'!$B$34:$B$36</definedName>
    <definedName name="rngTotalAdder" localSheetId="3">'Fuel adder inputs and calcs'!$Q$6:$Q$73</definedName>
    <definedName name="rngTotalAdder">#REF!</definedName>
    <definedName name="SCENARIO_BLOCK">#REF!</definedName>
    <definedName name="Scenario_Headers_Left">#REF!</definedName>
    <definedName name="second_q_scenarios">#REF!</definedName>
    <definedName name="Synergen_Gas_Discount">'Fixed inputs'!$D$51</definedName>
    <definedName name="target_for_run_info">#REF!</definedName>
    <definedName name="thtoGJ">'Fixed inputs'!$D$25</definedName>
    <definedName name="True_or_False">#REF!</definedName>
    <definedName name="USD">'Fixed inputs'!#REF!</definedName>
    <definedName name="USD_DET">'Commodity inputs and calcs'!$D$5</definedName>
    <definedName name="what_part">#REF!</definedName>
    <definedName name="which_range">#REF!</definedName>
  </definedNames>
  <calcPr calcId="162913" iterate="1"/>
</workbook>
</file>

<file path=xl/calcChain.xml><?xml version="1.0" encoding="utf-8"?>
<calcChain xmlns="http://schemas.openxmlformats.org/spreadsheetml/2006/main">
  <c r="N90" i="55" l="1"/>
  <c r="N91" i="55"/>
  <c r="N99" i="55"/>
  <c r="C9" i="57" l="1"/>
  <c r="AD12" i="55" l="1"/>
  <c r="AD13" i="55" s="1"/>
  <c r="AD14" i="55" s="1"/>
  <c r="AD15" i="55" s="1"/>
  <c r="AD16" i="55" s="1"/>
  <c r="AD17" i="55" s="1"/>
  <c r="AD18" i="55" s="1"/>
  <c r="AD19" i="55" s="1"/>
  <c r="AD20" i="55" s="1"/>
  <c r="AD21" i="55" s="1"/>
  <c r="AD22" i="55" s="1"/>
  <c r="AD23" i="55" s="1"/>
  <c r="AD24" i="55" s="1"/>
  <c r="AD25" i="55" s="1"/>
  <c r="AD26" i="55" s="1"/>
  <c r="AD27" i="55" s="1"/>
  <c r="AD28" i="55" s="1"/>
  <c r="AD29" i="55" s="1"/>
  <c r="AD30" i="55" s="1"/>
  <c r="AD31" i="55" s="1"/>
  <c r="AD32" i="55" s="1"/>
  <c r="AD33" i="55" s="1"/>
  <c r="AD34" i="55" s="1"/>
  <c r="AD35" i="55" s="1"/>
  <c r="AD36" i="55" s="1"/>
  <c r="AD37" i="55" s="1"/>
  <c r="AD38" i="55" s="1"/>
  <c r="AD39" i="55" s="1"/>
  <c r="AD40" i="55" s="1"/>
  <c r="AD41" i="55" s="1"/>
  <c r="AD42" i="55" s="1"/>
  <c r="P12" i="55"/>
  <c r="P13" i="55" s="1"/>
  <c r="P14" i="55" s="1"/>
  <c r="P15" i="55" s="1"/>
  <c r="P16" i="55" s="1"/>
  <c r="P17" i="55" s="1"/>
  <c r="P18" i="55" s="1"/>
  <c r="P19" i="55" s="1"/>
  <c r="P20" i="55" s="1"/>
  <c r="P21" i="55" s="1"/>
  <c r="P22" i="55" s="1"/>
  <c r="P23" i="55" s="1"/>
  <c r="P24" i="55" s="1"/>
  <c r="P25" i="55" s="1"/>
  <c r="P26" i="55" s="1"/>
  <c r="P27" i="55" s="1"/>
  <c r="P28" i="55" s="1"/>
  <c r="P29" i="55" s="1"/>
  <c r="P30" i="55" s="1"/>
  <c r="P31" i="55" s="1"/>
  <c r="P32" i="55" s="1"/>
  <c r="P33" i="55" s="1"/>
  <c r="P34" i="55" s="1"/>
  <c r="P35" i="55" s="1"/>
  <c r="P36" i="55" s="1"/>
  <c r="P37" i="55" s="1"/>
  <c r="P38" i="55" s="1"/>
  <c r="P39" i="55" s="1"/>
  <c r="P40" i="55" s="1"/>
  <c r="P41" i="55" s="1"/>
  <c r="P42" i="55" s="1"/>
  <c r="P43" i="55" s="1"/>
  <c r="P44" i="55" s="1"/>
  <c r="P45" i="55" s="1"/>
  <c r="P46" i="55" s="1"/>
  <c r="P47" i="55" s="1"/>
  <c r="P48" i="55" s="1"/>
  <c r="P49" i="55" s="1"/>
  <c r="P50" i="55" s="1"/>
  <c r="P51" i="55" s="1"/>
  <c r="P52" i="55" s="1"/>
  <c r="P53" i="55" s="1"/>
  <c r="P54" i="55" s="1"/>
  <c r="P55" i="55" s="1"/>
  <c r="P56" i="55" s="1"/>
  <c r="P57" i="55" s="1"/>
  <c r="P58" i="55" s="1"/>
  <c r="P59" i="55" s="1"/>
  <c r="P60" i="55" s="1"/>
  <c r="P61" i="55" s="1"/>
  <c r="P62" i="55" s="1"/>
  <c r="P63" i="55" s="1"/>
  <c r="P64" i="55" s="1"/>
  <c r="P65" i="55" s="1"/>
  <c r="P66" i="55" s="1"/>
  <c r="P67" i="55" s="1"/>
  <c r="P68" i="55" s="1"/>
  <c r="P69" i="55" s="1"/>
  <c r="P70" i="55" s="1"/>
  <c r="P71" i="55" s="1"/>
  <c r="P72" i="55" s="1"/>
  <c r="P73" i="55" s="1"/>
  <c r="P74" i="55" s="1"/>
  <c r="P75" i="55" s="1"/>
  <c r="P76" i="55" s="1"/>
  <c r="P77" i="55" s="1"/>
  <c r="P78" i="55" s="1"/>
  <c r="P79" i="55" s="1"/>
  <c r="P80" i="55" s="1"/>
  <c r="P81" i="55" s="1"/>
  <c r="P82" i="55" s="1"/>
  <c r="P83" i="55" s="1"/>
  <c r="P84" i="55" s="1"/>
  <c r="P85" i="55" s="1"/>
  <c r="P86" i="55" s="1"/>
  <c r="P87" i="55" s="1"/>
  <c r="P88" i="55" s="1"/>
  <c r="P89" i="55" s="1"/>
  <c r="P90" i="55" s="1"/>
  <c r="P91" i="55" s="1"/>
  <c r="P92" i="55" s="1"/>
  <c r="P93" i="55" s="1"/>
  <c r="P94" i="55" s="1"/>
  <c r="P95" i="55" s="1"/>
  <c r="P96" i="55" s="1"/>
  <c r="P97" i="55" s="1"/>
  <c r="P98" i="55" s="1"/>
  <c r="P99" i="55" s="1"/>
  <c r="AB18" i="55"/>
  <c r="AB26" i="55"/>
  <c r="AB34" i="55"/>
  <c r="AB42" i="55"/>
  <c r="H32" i="54" l="1"/>
  <c r="G32" i="54"/>
  <c r="P35" i="54" s="1"/>
  <c r="F32" i="54"/>
  <c r="P31" i="54" s="1"/>
  <c r="E32" i="54"/>
  <c r="P28" i="54" s="1"/>
  <c r="D32" i="54"/>
  <c r="B6" i="49"/>
  <c r="B7" i="49" s="1"/>
  <c r="B8" i="49" s="1"/>
  <c r="B9" i="49" s="1"/>
  <c r="P32" i="54" l="1"/>
  <c r="P29" i="54"/>
  <c r="P33" i="54"/>
  <c r="P30" i="54"/>
  <c r="P34" i="54"/>
  <c r="B10" i="49"/>
  <c r="B11" i="49" s="1"/>
  <c r="B12" i="49" s="1"/>
  <c r="B13" i="49" s="1"/>
  <c r="D6" i="49"/>
  <c r="F6" i="49"/>
  <c r="G6" i="49" s="1"/>
  <c r="E6" i="49" l="1"/>
  <c r="H28" i="54"/>
  <c r="D10" i="49" l="1"/>
  <c r="F10" i="49"/>
  <c r="B14" i="49"/>
  <c r="B15" i="49" s="1"/>
  <c r="B16" i="49" s="1"/>
  <c r="B17" i="49" s="1"/>
  <c r="F7" i="49"/>
  <c r="D7" i="49"/>
  <c r="F11" i="49"/>
  <c r="D11" i="49"/>
  <c r="E14" i="54"/>
  <c r="G10" i="49" l="1"/>
  <c r="E10" i="49"/>
  <c r="E11" i="49"/>
  <c r="G11" i="49"/>
  <c r="D8" i="49"/>
  <c r="F8" i="49"/>
  <c r="F12" i="49"/>
  <c r="D12" i="49"/>
  <c r="E7" i="49"/>
  <c r="G7" i="49"/>
  <c r="D9" i="49" l="1"/>
  <c r="F9" i="49"/>
  <c r="E12" i="49"/>
  <c r="G12" i="49"/>
  <c r="D13" i="49"/>
  <c r="F13" i="49"/>
  <c r="E8" i="49"/>
  <c r="G8" i="49"/>
  <c r="E13" i="49" l="1"/>
  <c r="G13" i="49"/>
  <c r="G9" i="49"/>
  <c r="E9" i="49"/>
  <c r="E7" i="56"/>
  <c r="F7" i="56"/>
  <c r="E8" i="56"/>
  <c r="F8" i="56"/>
  <c r="E9" i="56"/>
  <c r="F9" i="56"/>
  <c r="E10" i="56"/>
  <c r="F10" i="56"/>
  <c r="E11" i="56"/>
  <c r="F11" i="56"/>
  <c r="E12" i="56"/>
  <c r="F12" i="56"/>
  <c r="E13" i="56"/>
  <c r="F13" i="56"/>
  <c r="F6" i="56"/>
  <c r="E6" i="56"/>
  <c r="C46" i="49" l="1"/>
  <c r="D46" i="49"/>
  <c r="E46" i="49"/>
  <c r="F46" i="49"/>
  <c r="G28" i="54"/>
  <c r="F28" i="54"/>
  <c r="E28" i="54"/>
  <c r="O28" i="54" s="1"/>
  <c r="D28" i="54"/>
  <c r="Z21" i="54"/>
  <c r="Y21" i="54" s="1"/>
  <c r="X21" i="54" s="1"/>
  <c r="W21" i="54" s="1"/>
  <c r="V21" i="54" s="1"/>
  <c r="U21" i="54" s="1"/>
  <c r="Z20" i="54"/>
  <c r="Y20" i="54" s="1"/>
  <c r="X20" i="54" s="1"/>
  <c r="W20" i="54" s="1"/>
  <c r="V20" i="54" s="1"/>
  <c r="U20" i="54" s="1"/>
  <c r="Z19" i="54"/>
  <c r="Y19" i="54" s="1"/>
  <c r="X19" i="54" s="1"/>
  <c r="W19" i="54" s="1"/>
  <c r="V19" i="54" s="1"/>
  <c r="U19" i="54" s="1"/>
  <c r="Z18" i="54"/>
  <c r="Y18" i="54" s="1"/>
  <c r="X18" i="54" s="1"/>
  <c r="W18" i="54" s="1"/>
  <c r="V18" i="54" s="1"/>
  <c r="U18" i="54" s="1"/>
  <c r="Z17" i="54"/>
  <c r="Y17" i="54" s="1"/>
  <c r="X17" i="54" s="1"/>
  <c r="W17" i="54" s="1"/>
  <c r="V17" i="54" s="1"/>
  <c r="U17" i="54" s="1"/>
  <c r="Z16" i="54"/>
  <c r="Y16" i="54" s="1"/>
  <c r="X16" i="54" s="1"/>
  <c r="W16" i="54" s="1"/>
  <c r="V16" i="54" s="1"/>
  <c r="U16" i="54" s="1"/>
  <c r="Z15" i="54"/>
  <c r="Y15" i="54" s="1"/>
  <c r="X15" i="54" s="1"/>
  <c r="W15" i="54" s="1"/>
  <c r="V15" i="54" s="1"/>
  <c r="U15" i="54" s="1"/>
  <c r="Z14" i="54"/>
  <c r="Y14" i="54" s="1"/>
  <c r="X14" i="54" s="1"/>
  <c r="W14" i="54" s="1"/>
  <c r="V14" i="54" s="1"/>
  <c r="U14" i="54" s="1"/>
  <c r="N35" i="54"/>
  <c r="N34" i="54"/>
  <c r="N33" i="54"/>
  <c r="N32" i="54"/>
  <c r="N31" i="54"/>
  <c r="N30" i="54"/>
  <c r="N29" i="54"/>
  <c r="N28" i="54"/>
  <c r="P21" i="54"/>
  <c r="O21" i="54"/>
  <c r="N21" i="54"/>
  <c r="M21" i="54"/>
  <c r="P20" i="54"/>
  <c r="O20" i="54"/>
  <c r="N20" i="54"/>
  <c r="M20" i="54"/>
  <c r="P19" i="54"/>
  <c r="O19" i="54"/>
  <c r="N19" i="54"/>
  <c r="M19" i="54"/>
  <c r="P18" i="54"/>
  <c r="O18" i="54"/>
  <c r="N18" i="54"/>
  <c r="M18" i="54"/>
  <c r="P17" i="54"/>
  <c r="O17" i="54"/>
  <c r="N17" i="54"/>
  <c r="M17" i="54"/>
  <c r="P16" i="54"/>
  <c r="O16" i="54"/>
  <c r="N16" i="54"/>
  <c r="M16" i="54"/>
  <c r="P15" i="54"/>
  <c r="O15" i="54"/>
  <c r="N15" i="54"/>
  <c r="M15" i="54"/>
  <c r="P14" i="54"/>
  <c r="O14" i="54"/>
  <c r="N14" i="54"/>
  <c r="M14" i="54"/>
  <c r="E20" i="54"/>
  <c r="L20" i="54" s="1"/>
  <c r="L34" i="54" s="1"/>
  <c r="E21" i="54"/>
  <c r="L21" i="54" s="1"/>
  <c r="L35" i="54" s="1"/>
  <c r="E19" i="54"/>
  <c r="L19" i="54" s="1"/>
  <c r="L33" i="54" s="1"/>
  <c r="E18" i="54"/>
  <c r="L18" i="54" s="1"/>
  <c r="L32" i="54" s="1"/>
  <c r="E17" i="54"/>
  <c r="L17" i="54" s="1"/>
  <c r="L31" i="54" s="1"/>
  <c r="E16" i="54"/>
  <c r="L16" i="54" s="1"/>
  <c r="L30" i="54" s="1"/>
  <c r="E15" i="54"/>
  <c r="L15" i="54" s="1"/>
  <c r="L29" i="54" s="1"/>
  <c r="L14" i="54"/>
  <c r="L28" i="54" s="1"/>
  <c r="A12" i="55"/>
  <c r="B12" i="55"/>
  <c r="A13" i="55"/>
  <c r="B13" i="55"/>
  <c r="A14" i="55"/>
  <c r="B14" i="55"/>
  <c r="A15" i="55"/>
  <c r="B15" i="55"/>
  <c r="A16" i="55"/>
  <c r="B16" i="55"/>
  <c r="A17" i="55"/>
  <c r="B17" i="55"/>
  <c r="A18" i="55"/>
  <c r="B18" i="55"/>
  <c r="A19" i="55"/>
  <c r="B19" i="55"/>
  <c r="A20" i="55"/>
  <c r="B20" i="55"/>
  <c r="A21" i="55"/>
  <c r="B21" i="55"/>
  <c r="A22" i="55"/>
  <c r="B22" i="55"/>
  <c r="A23" i="55"/>
  <c r="B23" i="55"/>
  <c r="A24" i="55"/>
  <c r="B24" i="55"/>
  <c r="A25" i="55"/>
  <c r="B25" i="55"/>
  <c r="A26" i="55"/>
  <c r="B26" i="55"/>
  <c r="A27" i="55"/>
  <c r="B27" i="55"/>
  <c r="A28" i="55"/>
  <c r="B28" i="55"/>
  <c r="A29" i="55"/>
  <c r="B29" i="55"/>
  <c r="A30" i="55"/>
  <c r="B30" i="55"/>
  <c r="A31" i="55"/>
  <c r="B31" i="55"/>
  <c r="A32" i="55"/>
  <c r="B32" i="55"/>
  <c r="A33" i="55"/>
  <c r="B33" i="55"/>
  <c r="A34" i="55"/>
  <c r="B34" i="55"/>
  <c r="A35" i="55"/>
  <c r="B35" i="55"/>
  <c r="A36" i="55"/>
  <c r="B36" i="55"/>
  <c r="A37" i="55"/>
  <c r="B37" i="55"/>
  <c r="A38" i="55"/>
  <c r="B38" i="55"/>
  <c r="A39" i="55"/>
  <c r="B39" i="55"/>
  <c r="A40" i="55"/>
  <c r="B40" i="55"/>
  <c r="A41" i="55"/>
  <c r="B41" i="55"/>
  <c r="A42" i="55"/>
  <c r="B42" i="55"/>
  <c r="A43" i="55"/>
  <c r="B43" i="55"/>
  <c r="A44" i="55"/>
  <c r="B44" i="55"/>
  <c r="A45" i="55"/>
  <c r="B45" i="55"/>
  <c r="A46" i="55"/>
  <c r="B46" i="55"/>
  <c r="A47" i="55"/>
  <c r="B47" i="55"/>
  <c r="A48" i="55"/>
  <c r="B48" i="55"/>
  <c r="A49" i="55"/>
  <c r="B49" i="55"/>
  <c r="A50" i="55"/>
  <c r="B50" i="55"/>
  <c r="A51" i="55"/>
  <c r="B51" i="55"/>
  <c r="A52" i="55"/>
  <c r="B52" i="55"/>
  <c r="A53" i="55"/>
  <c r="B53" i="55"/>
  <c r="A54" i="55"/>
  <c r="B54" i="55"/>
  <c r="A55" i="55"/>
  <c r="B55" i="55"/>
  <c r="A56" i="55"/>
  <c r="B56" i="55"/>
  <c r="A57" i="55"/>
  <c r="B57" i="55"/>
  <c r="A58" i="55"/>
  <c r="B58" i="55"/>
  <c r="A59" i="55"/>
  <c r="B59" i="55"/>
  <c r="A60" i="55"/>
  <c r="B60" i="55"/>
  <c r="A61" i="55"/>
  <c r="B61" i="55"/>
  <c r="A62" i="55"/>
  <c r="B62" i="55"/>
  <c r="A63" i="55"/>
  <c r="B63" i="55"/>
  <c r="A64" i="55"/>
  <c r="B64" i="55"/>
  <c r="A65" i="55"/>
  <c r="B65" i="55"/>
  <c r="A66" i="55"/>
  <c r="B66" i="55"/>
  <c r="A67" i="55"/>
  <c r="B67" i="55"/>
  <c r="A68" i="55"/>
  <c r="B68" i="55"/>
  <c r="A69" i="55"/>
  <c r="B69" i="55"/>
  <c r="A70" i="55"/>
  <c r="B70" i="55"/>
  <c r="A71" i="55"/>
  <c r="B71" i="55"/>
  <c r="A72" i="55"/>
  <c r="B72" i="55"/>
  <c r="A73" i="55"/>
  <c r="B73" i="55"/>
  <c r="A74" i="55"/>
  <c r="B74" i="55"/>
  <c r="A75" i="55"/>
  <c r="B75" i="55"/>
  <c r="A76" i="55"/>
  <c r="B76" i="55"/>
  <c r="A77" i="55"/>
  <c r="B77" i="55"/>
  <c r="A78" i="55"/>
  <c r="B78" i="55"/>
  <c r="A79" i="55"/>
  <c r="B79" i="55"/>
  <c r="A80" i="55"/>
  <c r="B80" i="55"/>
  <c r="A81" i="55"/>
  <c r="B81" i="55"/>
  <c r="A82" i="55"/>
  <c r="B82" i="55"/>
  <c r="B11" i="55"/>
  <c r="A11" i="55"/>
  <c r="D58" i="55" l="1"/>
  <c r="G58" i="55" s="1"/>
  <c r="D50" i="55"/>
  <c r="G50" i="55" s="1"/>
  <c r="O31" i="54"/>
  <c r="O30" i="54"/>
  <c r="O29" i="54"/>
  <c r="O32" i="54"/>
  <c r="O35" i="54"/>
  <c r="O34" i="54"/>
  <c r="O33" i="54"/>
  <c r="D75" i="55"/>
  <c r="G75" i="55" s="1"/>
  <c r="D67" i="55"/>
  <c r="G67" i="55" s="1"/>
  <c r="D59" i="55"/>
  <c r="G59" i="55" s="1"/>
  <c r="D43" i="55"/>
  <c r="G43" i="55" s="1"/>
  <c r="D27" i="55"/>
  <c r="G27" i="55" s="1"/>
  <c r="D19" i="55"/>
  <c r="G19" i="55" s="1"/>
  <c r="D15" i="55"/>
  <c r="G15" i="55" s="1"/>
  <c r="D13" i="55"/>
  <c r="G13" i="55" s="1"/>
  <c r="D78" i="55"/>
  <c r="G78" i="55" s="1"/>
  <c r="D76" i="55"/>
  <c r="G76" i="55" s="1"/>
  <c r="D79" i="55"/>
  <c r="G79" i="55" s="1"/>
  <c r="D77" i="55"/>
  <c r="G77" i="55" s="1"/>
  <c r="D62" i="55"/>
  <c r="G62" i="55" s="1"/>
  <c r="D60" i="55"/>
  <c r="G60" i="55" s="1"/>
  <c r="D30" i="55"/>
  <c r="G30" i="55" s="1"/>
  <c r="D18" i="55"/>
  <c r="G18" i="55" s="1"/>
  <c r="D14" i="55"/>
  <c r="G14" i="55" s="1"/>
  <c r="D12" i="55"/>
  <c r="G12" i="55" s="1"/>
  <c r="D63" i="55"/>
  <c r="G63" i="55" s="1"/>
  <c r="D61" i="55"/>
  <c r="G61" i="55" s="1"/>
  <c r="D46" i="55"/>
  <c r="G46" i="55" s="1"/>
  <c r="D44" i="55"/>
  <c r="G44" i="55" s="1"/>
  <c r="D42" i="55"/>
  <c r="G42" i="55" s="1"/>
  <c r="D34" i="55"/>
  <c r="G34" i="55" s="1"/>
  <c r="D82" i="55"/>
  <c r="G82" i="55" s="1"/>
  <c r="N82" i="55" s="1"/>
  <c r="D51" i="55"/>
  <c r="G51" i="55" s="1"/>
  <c r="D47" i="55"/>
  <c r="G47" i="55" s="1"/>
  <c r="D45" i="55"/>
  <c r="G45" i="55" s="1"/>
  <c r="D26" i="55"/>
  <c r="G26" i="55" s="1"/>
  <c r="N26" i="55" s="1"/>
  <c r="D24" i="55"/>
  <c r="G24" i="55" s="1"/>
  <c r="D74" i="55"/>
  <c r="G74" i="55" s="1"/>
  <c r="D66" i="55"/>
  <c r="G66" i="55" s="1"/>
  <c r="D35" i="55"/>
  <c r="G35" i="55" s="1"/>
  <c r="D31" i="55"/>
  <c r="G31" i="55" s="1"/>
  <c r="D29" i="55"/>
  <c r="G29" i="55" s="1"/>
  <c r="D70" i="55"/>
  <c r="G70" i="55" s="1"/>
  <c r="D54" i="55"/>
  <c r="G54" i="55" s="1"/>
  <c r="D52" i="55"/>
  <c r="G52" i="55" s="1"/>
  <c r="D38" i="55"/>
  <c r="G38" i="55" s="1"/>
  <c r="D22" i="55"/>
  <c r="G22" i="55" s="1"/>
  <c r="D20" i="55"/>
  <c r="G20" i="55" s="1"/>
  <c r="D71" i="55"/>
  <c r="G71" i="55" s="1"/>
  <c r="D69" i="55"/>
  <c r="G69" i="55" s="1"/>
  <c r="D55" i="55"/>
  <c r="G55" i="55" s="1"/>
  <c r="D53" i="55"/>
  <c r="G53" i="55" s="1"/>
  <c r="D39" i="55"/>
  <c r="G39" i="55" s="1"/>
  <c r="D37" i="55"/>
  <c r="G37" i="55" s="1"/>
  <c r="D32" i="55"/>
  <c r="G32" i="55" s="1"/>
  <c r="D23" i="55"/>
  <c r="G23" i="55" s="1"/>
  <c r="D21" i="55"/>
  <c r="G21" i="55" s="1"/>
  <c r="D80" i="55"/>
  <c r="G80" i="55" s="1"/>
  <c r="D72" i="55"/>
  <c r="G72" i="55" s="1"/>
  <c r="D64" i="55"/>
  <c r="G64" i="55" s="1"/>
  <c r="D56" i="55"/>
  <c r="G56" i="55" s="1"/>
  <c r="D48" i="55"/>
  <c r="G48" i="55" s="1"/>
  <c r="D40" i="55"/>
  <c r="G40" i="55" s="1"/>
  <c r="D16" i="55"/>
  <c r="G16" i="55" s="1"/>
  <c r="D11" i="55"/>
  <c r="G11" i="55" s="1"/>
  <c r="D81" i="55"/>
  <c r="G81" i="55" s="1"/>
  <c r="D73" i="55"/>
  <c r="G73" i="55" s="1"/>
  <c r="D68" i="55"/>
  <c r="G68" i="55" s="1"/>
  <c r="D65" i="55"/>
  <c r="G65" i="55" s="1"/>
  <c r="D57" i="55"/>
  <c r="G57" i="55" s="1"/>
  <c r="D49" i="55"/>
  <c r="G49" i="55" s="1"/>
  <c r="D41" i="55"/>
  <c r="G41" i="55" s="1"/>
  <c r="D36" i="55"/>
  <c r="G36" i="55" s="1"/>
  <c r="D33" i="55"/>
  <c r="G33" i="55" s="1"/>
  <c r="D28" i="55"/>
  <c r="G28" i="55" s="1"/>
  <c r="D25" i="55"/>
  <c r="G25" i="55" s="1"/>
  <c r="D17" i="55"/>
  <c r="G17" i="55" s="1"/>
  <c r="C15" i="55"/>
  <c r="C16" i="55"/>
  <c r="W16" i="55" s="1"/>
  <c r="C14" i="55"/>
  <c r="W14" i="55" s="1"/>
  <c r="C12" i="55"/>
  <c r="W12" i="55" s="1"/>
  <c r="C13" i="55"/>
  <c r="W13" i="55" s="1"/>
  <c r="C18" i="55"/>
  <c r="W18" i="55" s="1"/>
  <c r="C17" i="55"/>
  <c r="W17" i="55" s="1"/>
  <c r="N74" i="55" l="1"/>
  <c r="N42" i="55"/>
  <c r="N50" i="55"/>
  <c r="N66" i="55"/>
  <c r="N34" i="55"/>
  <c r="N18" i="55"/>
  <c r="N58" i="55"/>
  <c r="W15" i="55"/>
  <c r="F15" i="49"/>
  <c r="D15" i="49"/>
  <c r="D17" i="49" l="1"/>
  <c r="F17" i="49"/>
  <c r="F16" i="49"/>
  <c r="D16" i="49"/>
  <c r="D14" i="49"/>
  <c r="F14" i="49"/>
  <c r="G15" i="49"/>
  <c r="E15" i="49"/>
  <c r="M16" i="55" l="1"/>
  <c r="N15" i="55" s="1"/>
  <c r="M12" i="55"/>
  <c r="N11" i="55" s="1"/>
  <c r="M14" i="55"/>
  <c r="N13" i="55" s="1"/>
  <c r="M13" i="55"/>
  <c r="N12" i="55" s="1"/>
  <c r="G14" i="49"/>
  <c r="M15" i="55" s="1"/>
  <c r="N14" i="55" s="1"/>
  <c r="E14" i="49"/>
  <c r="E17" i="49"/>
  <c r="G17" i="49"/>
  <c r="M18" i="55" s="1"/>
  <c r="N17" i="55" s="1"/>
  <c r="E16" i="49"/>
  <c r="G16" i="49"/>
  <c r="M17" i="55" s="1"/>
  <c r="N16" i="55" s="1"/>
  <c r="P85" i="56" l="1"/>
  <c r="O85" i="56"/>
  <c r="P84" i="56"/>
  <c r="O84" i="56"/>
  <c r="P83" i="56"/>
  <c r="O83" i="56"/>
  <c r="P82" i="56"/>
  <c r="O82" i="56"/>
  <c r="P81" i="56"/>
  <c r="O81" i="56"/>
  <c r="P80" i="56"/>
  <c r="O80" i="56"/>
  <c r="P79" i="56"/>
  <c r="O79" i="56"/>
  <c r="P78" i="56"/>
  <c r="O78" i="56"/>
  <c r="P61" i="56"/>
  <c r="P60" i="56"/>
  <c r="P59" i="56"/>
  <c r="P58" i="56"/>
  <c r="P57" i="56"/>
  <c r="P56" i="56"/>
  <c r="P55" i="56"/>
  <c r="P54" i="56"/>
  <c r="P53" i="56"/>
  <c r="P52" i="56"/>
  <c r="P51" i="56"/>
  <c r="P50" i="56"/>
  <c r="P49" i="56"/>
  <c r="P48" i="56"/>
  <c r="P47" i="56"/>
  <c r="P46" i="56"/>
  <c r="P45" i="56"/>
  <c r="P44" i="56"/>
  <c r="P43" i="56"/>
  <c r="P42" i="56"/>
  <c r="P41" i="56"/>
  <c r="P40" i="56"/>
  <c r="P39" i="56"/>
  <c r="P38" i="56"/>
  <c r="P37" i="56"/>
  <c r="P36" i="56"/>
  <c r="P35" i="56"/>
  <c r="P34" i="56"/>
  <c r="P33" i="56"/>
  <c r="P32" i="56"/>
  <c r="P31" i="56"/>
  <c r="P30" i="56"/>
  <c r="F21" i="56"/>
  <c r="F29" i="56" s="1"/>
  <c r="F37" i="56" s="1"/>
  <c r="F45" i="56" s="1"/>
  <c r="F53" i="56" s="1"/>
  <c r="F61" i="56" s="1"/>
  <c r="F69" i="56" s="1"/>
  <c r="F77" i="56" s="1"/>
  <c r="F85" i="56" s="1"/>
  <c r="F20" i="56"/>
  <c r="F28" i="56" s="1"/>
  <c r="F36" i="56" s="1"/>
  <c r="F44" i="56" s="1"/>
  <c r="F52" i="56" s="1"/>
  <c r="F60" i="56" s="1"/>
  <c r="F68" i="56" s="1"/>
  <c r="F76" i="56" s="1"/>
  <c r="F84" i="56" s="1"/>
  <c r="F19" i="56"/>
  <c r="F27" i="56" s="1"/>
  <c r="F35" i="56" s="1"/>
  <c r="F43" i="56" s="1"/>
  <c r="F51" i="56" s="1"/>
  <c r="F59" i="56" s="1"/>
  <c r="F67" i="56" s="1"/>
  <c r="F75" i="56" s="1"/>
  <c r="F83" i="56" s="1"/>
  <c r="F18" i="56"/>
  <c r="F26" i="56" s="1"/>
  <c r="F34" i="56" s="1"/>
  <c r="F42" i="56" s="1"/>
  <c r="F50" i="56" s="1"/>
  <c r="F58" i="56" s="1"/>
  <c r="F66" i="56" s="1"/>
  <c r="F74" i="56" s="1"/>
  <c r="F82" i="56" s="1"/>
  <c r="F17" i="56"/>
  <c r="F25" i="56" s="1"/>
  <c r="F33" i="56" s="1"/>
  <c r="F41" i="56" s="1"/>
  <c r="F49" i="56" s="1"/>
  <c r="F57" i="56" s="1"/>
  <c r="F65" i="56" s="1"/>
  <c r="F73" i="56" s="1"/>
  <c r="F81" i="56" s="1"/>
  <c r="F16" i="56"/>
  <c r="F24" i="56" s="1"/>
  <c r="F32" i="56" s="1"/>
  <c r="F40" i="56" s="1"/>
  <c r="F48" i="56" s="1"/>
  <c r="F56" i="56" s="1"/>
  <c r="F64" i="56" s="1"/>
  <c r="F72" i="56" s="1"/>
  <c r="F80" i="56" s="1"/>
  <c r="F15" i="56"/>
  <c r="F23" i="56" s="1"/>
  <c r="F31" i="56" s="1"/>
  <c r="F39" i="56" s="1"/>
  <c r="F47" i="56" s="1"/>
  <c r="F55" i="56" s="1"/>
  <c r="F63" i="56" s="1"/>
  <c r="F71" i="56" s="1"/>
  <c r="F79" i="56" s="1"/>
  <c r="F14" i="56"/>
  <c r="F22" i="56" s="1"/>
  <c r="F30" i="56" s="1"/>
  <c r="F38" i="56" s="1"/>
  <c r="F46" i="56" s="1"/>
  <c r="F54" i="56" s="1"/>
  <c r="F62" i="56" s="1"/>
  <c r="F70" i="56" s="1"/>
  <c r="F78" i="56" s="1"/>
  <c r="P63" i="56"/>
  <c r="P62" i="56"/>
  <c r="P64" i="56"/>
  <c r="P65" i="56"/>
  <c r="P66" i="56"/>
  <c r="P68" i="56"/>
  <c r="P69" i="56"/>
  <c r="P67" i="56"/>
  <c r="O38" i="56"/>
  <c r="O61" i="56"/>
  <c r="P23" i="56"/>
  <c r="P15" i="56"/>
  <c r="O75" i="56"/>
  <c r="O17" i="56"/>
  <c r="O39" i="56"/>
  <c r="O29" i="56"/>
  <c r="O57" i="56"/>
  <c r="O32" i="56"/>
  <c r="O52" i="56"/>
  <c r="P24" i="56"/>
  <c r="O26" i="56"/>
  <c r="O11" i="56"/>
  <c r="O54" i="56"/>
  <c r="O73" i="56"/>
  <c r="P72" i="56"/>
  <c r="O33" i="56"/>
  <c r="O7" i="56"/>
  <c r="P7" i="56"/>
  <c r="O19" i="56"/>
  <c r="O9" i="56"/>
  <c r="P16" i="56"/>
  <c r="O47" i="56"/>
  <c r="P14" i="56"/>
  <c r="P74" i="56"/>
  <c r="O41" i="56"/>
  <c r="O16" i="56"/>
  <c r="O18" i="56"/>
  <c r="O48" i="56"/>
  <c r="O69" i="56"/>
  <c r="O6" i="56"/>
  <c r="P20" i="56"/>
  <c r="O65" i="56"/>
  <c r="P9" i="56"/>
  <c r="O64" i="56"/>
  <c r="P12" i="56"/>
  <c r="O35" i="56"/>
  <c r="P28" i="56"/>
  <c r="P29" i="56"/>
  <c r="P70" i="56"/>
  <c r="O68" i="56"/>
  <c r="O14" i="56"/>
  <c r="P25" i="56"/>
  <c r="O45" i="56"/>
  <c r="O12" i="56"/>
  <c r="O46" i="56"/>
  <c r="P77" i="56"/>
  <c r="O20" i="56"/>
  <c r="O67" i="56"/>
  <c r="O59" i="56"/>
  <c r="O76" i="56"/>
  <c r="P22" i="56"/>
  <c r="P19" i="56"/>
  <c r="O43" i="56"/>
  <c r="O27" i="56"/>
  <c r="O50" i="56"/>
  <c r="O23" i="56"/>
  <c r="O62" i="56"/>
  <c r="P71" i="56"/>
  <c r="O34" i="56"/>
  <c r="O77" i="56"/>
  <c r="P10" i="56"/>
  <c r="P73" i="56"/>
  <c r="O74" i="56"/>
  <c r="O56" i="56"/>
  <c r="O30" i="56"/>
  <c r="O72" i="56"/>
  <c r="O24" i="56"/>
  <c r="O37" i="56"/>
  <c r="P27" i="56"/>
  <c r="P21" i="56"/>
  <c r="P76" i="56"/>
  <c r="O60" i="56"/>
  <c r="O58" i="56"/>
  <c r="O71" i="56"/>
  <c r="O8" i="56"/>
  <c r="P18" i="56"/>
  <c r="O66" i="56"/>
  <c r="O21" i="56"/>
  <c r="O10" i="56"/>
  <c r="P11" i="56"/>
  <c r="O31" i="56"/>
  <c r="O49" i="56"/>
  <c r="P75" i="56"/>
  <c r="O25" i="56"/>
  <c r="P6" i="56"/>
  <c r="O63" i="56"/>
  <c r="O15" i="56"/>
  <c r="O36" i="56"/>
  <c r="P17" i="56"/>
  <c r="O44" i="56"/>
  <c r="O40" i="56"/>
  <c r="P13" i="56"/>
  <c r="O13" i="56"/>
  <c r="O28" i="56"/>
  <c r="O51" i="56"/>
  <c r="O53" i="56"/>
  <c r="P8" i="56"/>
  <c r="O55" i="56"/>
  <c r="O22" i="56"/>
  <c r="O70" i="56"/>
  <c r="P26" i="56"/>
  <c r="O42" i="56"/>
  <c r="Q84" i="56" l="1"/>
  <c r="Q82" i="56"/>
  <c r="Q81" i="56"/>
  <c r="Q85" i="56"/>
  <c r="Q80" i="56"/>
  <c r="Q79" i="56"/>
  <c r="Q83" i="56"/>
  <c r="Q78" i="56"/>
  <c r="Q22" i="56"/>
  <c r="Q24" i="56"/>
  <c r="Q71" i="56"/>
  <c r="Q18" i="56"/>
  <c r="Q20" i="56"/>
  <c r="Q72" i="56"/>
  <c r="Q23" i="56"/>
  <c r="Q19" i="56"/>
  <c r="Q70" i="56"/>
  <c r="Q66" i="56"/>
  <c r="Q67" i="56"/>
  <c r="Q68" i="56"/>
  <c r="Q14" i="56"/>
  <c r="Q15" i="56"/>
  <c r="Q30" i="56"/>
  <c r="Q31" i="56"/>
  <c r="Q32" i="56"/>
  <c r="Q34" i="56"/>
  <c r="Q35" i="56"/>
  <c r="Q36" i="56"/>
  <c r="Q38" i="56"/>
  <c r="Q39" i="56"/>
  <c r="Q40" i="56"/>
  <c r="Q42" i="56"/>
  <c r="Q43" i="56"/>
  <c r="Q44" i="56"/>
  <c r="Q46" i="56"/>
  <c r="Q47" i="56"/>
  <c r="Q48" i="56"/>
  <c r="Q50" i="56"/>
  <c r="Q51" i="56"/>
  <c r="Q52" i="56"/>
  <c r="Q54" i="56"/>
  <c r="Q55" i="56"/>
  <c r="Q56" i="56"/>
  <c r="Q58" i="56"/>
  <c r="Q59" i="56"/>
  <c r="Q60" i="56"/>
  <c r="Q62" i="56"/>
  <c r="Q63" i="56"/>
  <c r="Q64" i="56"/>
  <c r="Q16" i="56"/>
  <c r="Q6" i="56"/>
  <c r="Q7" i="56"/>
  <c r="Q8" i="56"/>
  <c r="Q10" i="56"/>
  <c r="Q11" i="56"/>
  <c r="Q12" i="56"/>
  <c r="Q26" i="56"/>
  <c r="Q27" i="56"/>
  <c r="Q28" i="56"/>
  <c r="Q74" i="56"/>
  <c r="Q75" i="56"/>
  <c r="Q76" i="56"/>
  <c r="Q9" i="56"/>
  <c r="Q13" i="56"/>
  <c r="Q17" i="56"/>
  <c r="Q21" i="56"/>
  <c r="Q25" i="56"/>
  <c r="Q29" i="56"/>
  <c r="Q33" i="56"/>
  <c r="Q37" i="56"/>
  <c r="Q41" i="56"/>
  <c r="Q45" i="56"/>
  <c r="Q49" i="56"/>
  <c r="Q53" i="56"/>
  <c r="Q57" i="56"/>
  <c r="Q61" i="56"/>
  <c r="Q65" i="56"/>
  <c r="Q69" i="56"/>
  <c r="Q73" i="56"/>
  <c r="Q77" i="56"/>
  <c r="AF14" i="55" l="1"/>
  <c r="AF18" i="55"/>
  <c r="AF22" i="55"/>
  <c r="AF26" i="55"/>
  <c r="AF30" i="55"/>
  <c r="AF34" i="55"/>
  <c r="AF38" i="55"/>
  <c r="AF42" i="55"/>
  <c r="R14" i="55"/>
  <c r="R18" i="55"/>
  <c r="R22" i="55"/>
  <c r="R26" i="55"/>
  <c r="R30" i="55"/>
  <c r="R34" i="55"/>
  <c r="R38" i="55"/>
  <c r="R42" i="55"/>
  <c r="R46" i="55"/>
  <c r="R50" i="55"/>
  <c r="R54" i="55"/>
  <c r="R58" i="55"/>
  <c r="R62" i="55"/>
  <c r="R66" i="55"/>
  <c r="R70" i="55"/>
  <c r="R74" i="55"/>
  <c r="R78" i="55"/>
  <c r="R82" i="55"/>
  <c r="R86" i="55"/>
  <c r="R90" i="55"/>
  <c r="R94" i="55"/>
  <c r="R98" i="55"/>
  <c r="R87" i="55"/>
  <c r="R95" i="55"/>
  <c r="AF17" i="55"/>
  <c r="AF29" i="55"/>
  <c r="AF41" i="55"/>
  <c r="R21" i="55"/>
  <c r="R33" i="55"/>
  <c r="R41" i="55"/>
  <c r="R53" i="55"/>
  <c r="R61" i="55"/>
  <c r="R73" i="55"/>
  <c r="R81" i="55"/>
  <c r="R93" i="55"/>
  <c r="AF15" i="55"/>
  <c r="AF19" i="55"/>
  <c r="AF23" i="55"/>
  <c r="AF27" i="55"/>
  <c r="AF31" i="55"/>
  <c r="AF35" i="55"/>
  <c r="AF39" i="55"/>
  <c r="AF11" i="55"/>
  <c r="R15" i="55"/>
  <c r="R19" i="55"/>
  <c r="R23" i="55"/>
  <c r="R27" i="55"/>
  <c r="R31" i="55"/>
  <c r="R35" i="55"/>
  <c r="R39" i="55"/>
  <c r="R43" i="55"/>
  <c r="R47" i="55"/>
  <c r="R51" i="55"/>
  <c r="R55" i="55"/>
  <c r="R59" i="55"/>
  <c r="R63" i="55"/>
  <c r="R67" i="55"/>
  <c r="R71" i="55"/>
  <c r="R75" i="55"/>
  <c r="R79" i="55"/>
  <c r="R83" i="55"/>
  <c r="R91" i="55"/>
  <c r="R99" i="55"/>
  <c r="AF13" i="55"/>
  <c r="AF25" i="55"/>
  <c r="AF37" i="55"/>
  <c r="R17" i="55"/>
  <c r="R29" i="55"/>
  <c r="R45" i="55"/>
  <c r="R57" i="55"/>
  <c r="R69" i="55"/>
  <c r="R85" i="55"/>
  <c r="R97" i="55"/>
  <c r="AF12" i="55"/>
  <c r="AF16" i="55"/>
  <c r="AF20" i="55"/>
  <c r="AF24" i="55"/>
  <c r="AF28" i="55"/>
  <c r="AF32" i="55"/>
  <c r="AF36" i="55"/>
  <c r="AF40" i="55"/>
  <c r="R12" i="55"/>
  <c r="R16" i="55"/>
  <c r="R20" i="55"/>
  <c r="R24" i="55"/>
  <c r="R28" i="55"/>
  <c r="R32" i="55"/>
  <c r="R36" i="55"/>
  <c r="R40" i="55"/>
  <c r="R44" i="55"/>
  <c r="R48" i="55"/>
  <c r="R52" i="55"/>
  <c r="R56" i="55"/>
  <c r="R60" i="55"/>
  <c r="R64" i="55"/>
  <c r="R68" i="55"/>
  <c r="R72" i="55"/>
  <c r="R76" i="55"/>
  <c r="R80" i="55"/>
  <c r="R84" i="55"/>
  <c r="R88" i="55"/>
  <c r="R92" i="55"/>
  <c r="R96" i="55"/>
  <c r="R11" i="55"/>
  <c r="AF21" i="55"/>
  <c r="AF33" i="55"/>
  <c r="R13" i="55"/>
  <c r="R25" i="55"/>
  <c r="R37" i="55"/>
  <c r="R49" i="55"/>
  <c r="R65" i="55"/>
  <c r="R77" i="55"/>
  <c r="R89" i="55"/>
  <c r="C11" i="55" l="1"/>
  <c r="M11" i="55" s="1"/>
  <c r="W11" i="55" l="1"/>
  <c r="M31" i="54"/>
  <c r="M29" i="54"/>
  <c r="M30" i="54"/>
  <c r="M28" i="54"/>
  <c r="E15" i="56"/>
  <c r="E17" i="56"/>
  <c r="E14" i="56"/>
  <c r="E16" i="56"/>
  <c r="M35" i="54" l="1"/>
  <c r="M34" i="54"/>
  <c r="M32" i="54"/>
  <c r="M33" i="54"/>
  <c r="E21" i="56"/>
  <c r="I18" i="55"/>
  <c r="E24" i="56"/>
  <c r="C21" i="55"/>
  <c r="E25" i="56"/>
  <c r="C22" i="55"/>
  <c r="E19" i="56"/>
  <c r="E18" i="56"/>
  <c r="E20" i="56"/>
  <c r="E22" i="56"/>
  <c r="C19" i="55"/>
  <c r="E23" i="56"/>
  <c r="C20" i="55"/>
  <c r="AA14" i="55"/>
  <c r="AB13" i="55" s="1"/>
  <c r="AA12" i="55"/>
  <c r="AB11" i="55" s="1"/>
  <c r="AA13" i="55"/>
  <c r="AB12" i="55" s="1"/>
  <c r="AA11" i="55"/>
  <c r="W22" i="55" l="1"/>
  <c r="M22" i="55"/>
  <c r="N21" i="55" s="1"/>
  <c r="W21" i="55"/>
  <c r="M21" i="55"/>
  <c r="N20" i="55" s="1"/>
  <c r="W19" i="55"/>
  <c r="M19" i="55"/>
  <c r="W20" i="55"/>
  <c r="M20" i="55"/>
  <c r="N19" i="55" s="1"/>
  <c r="E31" i="56"/>
  <c r="C28" i="55"/>
  <c r="E27" i="56"/>
  <c r="C24" i="55"/>
  <c r="E32" i="56"/>
  <c r="C29" i="55"/>
  <c r="E30" i="56"/>
  <c r="C27" i="55"/>
  <c r="E26" i="56"/>
  <c r="C23" i="55"/>
  <c r="E28" i="56"/>
  <c r="C25" i="55"/>
  <c r="E33" i="56"/>
  <c r="C30" i="55"/>
  <c r="E29" i="56"/>
  <c r="C26" i="55"/>
  <c r="AA19" i="55"/>
  <c r="AA35" i="55" s="1"/>
  <c r="AA27" i="55"/>
  <c r="AA17" i="55"/>
  <c r="AB16" i="55" s="1"/>
  <c r="AA22" i="55"/>
  <c r="AB21" i="55" s="1"/>
  <c r="AA30" i="55"/>
  <c r="AB29" i="55" s="1"/>
  <c r="AA15" i="55"/>
  <c r="AB14" i="55" s="1"/>
  <c r="AA18" i="55"/>
  <c r="AB17" i="55" s="1"/>
  <c r="AA21" i="55"/>
  <c r="AB20" i="55" s="1"/>
  <c r="AA29" i="55"/>
  <c r="AB28" i="55" s="1"/>
  <c r="AA16" i="55"/>
  <c r="AB15" i="55" s="1"/>
  <c r="AA28" i="55"/>
  <c r="AB27" i="55" s="1"/>
  <c r="AA20" i="55"/>
  <c r="AB19" i="55" s="1"/>
  <c r="W24" i="55" l="1"/>
  <c r="AA36" i="55"/>
  <c r="AB35" i="55" s="1"/>
  <c r="AA37" i="55"/>
  <c r="AB36" i="55" s="1"/>
  <c r="AA38" i="55"/>
  <c r="AB37" i="55" s="1"/>
  <c r="I26" i="55"/>
  <c r="W26" i="55"/>
  <c r="M26" i="55"/>
  <c r="N25" i="55" s="1"/>
  <c r="W25" i="55"/>
  <c r="M25" i="55"/>
  <c r="N24" i="55" s="1"/>
  <c r="W27" i="55"/>
  <c r="M27" i="55"/>
  <c r="M24" i="55"/>
  <c r="N23" i="55" s="1"/>
  <c r="W30" i="55"/>
  <c r="M30" i="55"/>
  <c r="N29" i="55" s="1"/>
  <c r="W23" i="55"/>
  <c r="M23" i="55"/>
  <c r="N22" i="55" s="1"/>
  <c r="W29" i="55"/>
  <c r="M29" i="55"/>
  <c r="N28" i="55" s="1"/>
  <c r="W28" i="55"/>
  <c r="M28" i="55"/>
  <c r="N27" i="55" s="1"/>
  <c r="I23" i="55"/>
  <c r="I28" i="55"/>
  <c r="E37" i="56"/>
  <c r="C34" i="55"/>
  <c r="E36" i="56"/>
  <c r="C33" i="55"/>
  <c r="E38" i="56"/>
  <c r="C35" i="55"/>
  <c r="E35" i="56"/>
  <c r="C32" i="55"/>
  <c r="E41" i="56"/>
  <c r="C38" i="55"/>
  <c r="E34" i="56"/>
  <c r="C31" i="55"/>
  <c r="E40" i="56"/>
  <c r="C37" i="55"/>
  <c r="E39" i="56"/>
  <c r="C36" i="55"/>
  <c r="I17" i="55"/>
  <c r="I16" i="55"/>
  <c r="I30" i="55"/>
  <c r="I27" i="55"/>
  <c r="I29" i="55"/>
  <c r="I15" i="55"/>
  <c r="AA32" i="55"/>
  <c r="AB31" i="55" s="1"/>
  <c r="AA24" i="55"/>
  <c r="AB23" i="55" s="1"/>
  <c r="AA33" i="55"/>
  <c r="AB32" i="55" s="1"/>
  <c r="AA25" i="55"/>
  <c r="AB24" i="55" s="1"/>
  <c r="AA23" i="55"/>
  <c r="AB22" i="55" s="1"/>
  <c r="AA31" i="55"/>
  <c r="AB30" i="55" s="1"/>
  <c r="AA26" i="55"/>
  <c r="AB25" i="55" s="1"/>
  <c r="AA34" i="55"/>
  <c r="AB33" i="55" s="1"/>
  <c r="I85" i="55" l="1"/>
  <c r="I86" i="55"/>
  <c r="I84" i="55"/>
  <c r="AA39" i="55"/>
  <c r="AB38" i="55" s="1"/>
  <c r="AA42" i="55"/>
  <c r="AB41" i="55" s="1"/>
  <c r="AA41" i="55"/>
  <c r="AB40" i="55" s="1"/>
  <c r="AA40" i="55"/>
  <c r="AB39" i="55" s="1"/>
  <c r="W36" i="55"/>
  <c r="M36" i="55"/>
  <c r="N35" i="55" s="1"/>
  <c r="W32" i="55"/>
  <c r="M32" i="55"/>
  <c r="N31" i="55" s="1"/>
  <c r="W33" i="55"/>
  <c r="M33" i="55"/>
  <c r="N32" i="55" s="1"/>
  <c r="W31" i="55"/>
  <c r="M31" i="55"/>
  <c r="N30" i="55" s="1"/>
  <c r="W37" i="55"/>
  <c r="M37" i="55"/>
  <c r="N36" i="55" s="1"/>
  <c r="W38" i="55"/>
  <c r="M38" i="55"/>
  <c r="N37" i="55" s="1"/>
  <c r="W35" i="55"/>
  <c r="M35" i="55"/>
  <c r="I34" i="55"/>
  <c r="W34" i="55"/>
  <c r="M34" i="55"/>
  <c r="N33" i="55" s="1"/>
  <c r="I83" i="55"/>
  <c r="I92" i="55"/>
  <c r="I12" i="55"/>
  <c r="I20" i="55"/>
  <c r="I11" i="55"/>
  <c r="I19" i="55"/>
  <c r="I36" i="55"/>
  <c r="I31" i="55"/>
  <c r="I32" i="55"/>
  <c r="I33" i="55"/>
  <c r="I24" i="55"/>
  <c r="I13" i="55"/>
  <c r="I21" i="55"/>
  <c r="I14" i="55"/>
  <c r="I22" i="55"/>
  <c r="I37" i="55"/>
  <c r="I38" i="55"/>
  <c r="I35" i="55"/>
  <c r="I25" i="55"/>
  <c r="E48" i="56"/>
  <c r="C45" i="55"/>
  <c r="E49" i="56"/>
  <c r="C46" i="55"/>
  <c r="E46" i="56"/>
  <c r="C43" i="55"/>
  <c r="E45" i="56"/>
  <c r="C42" i="55"/>
  <c r="E47" i="56"/>
  <c r="C44" i="55"/>
  <c r="E42" i="56"/>
  <c r="C39" i="55"/>
  <c r="E43" i="56"/>
  <c r="C40" i="55"/>
  <c r="E44" i="56"/>
  <c r="C41" i="55"/>
  <c r="I89" i="55" l="1"/>
  <c r="I88" i="55"/>
  <c r="I87" i="55"/>
  <c r="I90" i="55"/>
  <c r="I44" i="55"/>
  <c r="M44" i="55"/>
  <c r="N43" i="55" s="1"/>
  <c r="I41" i="55"/>
  <c r="W41" i="55"/>
  <c r="M41" i="55"/>
  <c r="N40" i="55" s="1"/>
  <c r="I39" i="55"/>
  <c r="W39" i="55"/>
  <c r="M39" i="55"/>
  <c r="N38" i="55" s="1"/>
  <c r="I42" i="55"/>
  <c r="W42" i="55"/>
  <c r="M42" i="55"/>
  <c r="N41" i="55" s="1"/>
  <c r="I46" i="55"/>
  <c r="M46" i="55"/>
  <c r="N45" i="55" s="1"/>
  <c r="I40" i="55"/>
  <c r="W40" i="55"/>
  <c r="M40" i="55"/>
  <c r="N39" i="55" s="1"/>
  <c r="I45" i="55"/>
  <c r="M45" i="55"/>
  <c r="N44" i="55" s="1"/>
  <c r="I43" i="55"/>
  <c r="M43" i="55"/>
  <c r="E52" i="56"/>
  <c r="C49" i="55"/>
  <c r="E50" i="56"/>
  <c r="C47" i="55"/>
  <c r="E53" i="56"/>
  <c r="C50" i="55"/>
  <c r="E57" i="56"/>
  <c r="C54" i="55"/>
  <c r="E51" i="56"/>
  <c r="C48" i="55"/>
  <c r="E55" i="56"/>
  <c r="C52" i="55"/>
  <c r="E54" i="56"/>
  <c r="C51" i="55"/>
  <c r="E56" i="56"/>
  <c r="C53" i="55"/>
  <c r="I47" i="55" l="1"/>
  <c r="M47" i="55"/>
  <c r="N46" i="55" s="1"/>
  <c r="I53" i="55"/>
  <c r="M53" i="55"/>
  <c r="N52" i="55" s="1"/>
  <c r="I54" i="55"/>
  <c r="M54" i="55"/>
  <c r="N53" i="55" s="1"/>
  <c r="I48" i="55"/>
  <c r="M48" i="55"/>
  <c r="N47" i="55" s="1"/>
  <c r="I49" i="55"/>
  <c r="M49" i="55"/>
  <c r="N48" i="55" s="1"/>
  <c r="I52" i="55"/>
  <c r="M52" i="55"/>
  <c r="N51" i="55" s="1"/>
  <c r="I51" i="55"/>
  <c r="M51" i="55"/>
  <c r="I50" i="55"/>
  <c r="M50" i="55"/>
  <c r="N49" i="55" s="1"/>
  <c r="E64" i="56"/>
  <c r="C61" i="55"/>
  <c r="E63" i="56"/>
  <c r="C60" i="55"/>
  <c r="E65" i="56"/>
  <c r="C62" i="55"/>
  <c r="E58" i="56"/>
  <c r="C55" i="55"/>
  <c r="E62" i="56"/>
  <c r="C59" i="55"/>
  <c r="E59" i="56"/>
  <c r="C56" i="55"/>
  <c r="E61" i="56"/>
  <c r="C58" i="55"/>
  <c r="E60" i="56"/>
  <c r="C57" i="55"/>
  <c r="I56" i="55" l="1"/>
  <c r="M56" i="55"/>
  <c r="N55" i="55" s="1"/>
  <c r="I60" i="55"/>
  <c r="M60" i="55"/>
  <c r="N59" i="55" s="1"/>
  <c r="I55" i="55"/>
  <c r="M55" i="55"/>
  <c r="N54" i="55" s="1"/>
  <c r="I59" i="55"/>
  <c r="M59" i="55"/>
  <c r="I61" i="55"/>
  <c r="M61" i="55"/>
  <c r="N60" i="55" s="1"/>
  <c r="I57" i="55"/>
  <c r="M57" i="55"/>
  <c r="N56" i="55" s="1"/>
  <c r="I58" i="55"/>
  <c r="M58" i="55"/>
  <c r="N57" i="55" s="1"/>
  <c r="I62" i="55"/>
  <c r="M62" i="55"/>
  <c r="N61" i="55" s="1"/>
  <c r="E68" i="56"/>
  <c r="C65" i="55"/>
  <c r="E67" i="56"/>
  <c r="C64" i="55"/>
  <c r="E66" i="56"/>
  <c r="C63" i="55"/>
  <c r="E71" i="56"/>
  <c r="C68" i="55"/>
  <c r="E69" i="56"/>
  <c r="C66" i="55"/>
  <c r="E70" i="56"/>
  <c r="C67" i="55"/>
  <c r="E73" i="56"/>
  <c r="C70" i="55"/>
  <c r="E72" i="56"/>
  <c r="C69" i="55"/>
  <c r="I93" i="55"/>
  <c r="I99" i="55"/>
  <c r="I96" i="55"/>
  <c r="I95" i="55"/>
  <c r="I97" i="55"/>
  <c r="I98" i="55"/>
  <c r="I94" i="55"/>
  <c r="I69" i="55" l="1"/>
  <c r="M69" i="55"/>
  <c r="N68" i="55" s="1"/>
  <c r="I64" i="55"/>
  <c r="M64" i="55"/>
  <c r="N63" i="55" s="1"/>
  <c r="I67" i="55"/>
  <c r="M67" i="55"/>
  <c r="M83" i="55" s="1"/>
  <c r="I68" i="55"/>
  <c r="M68" i="55"/>
  <c r="N67" i="55" s="1"/>
  <c r="I70" i="55"/>
  <c r="M70" i="55"/>
  <c r="N69" i="55" s="1"/>
  <c r="I66" i="55"/>
  <c r="M66" i="55"/>
  <c r="N65" i="55" s="1"/>
  <c r="I63" i="55"/>
  <c r="M63" i="55"/>
  <c r="N62" i="55" s="1"/>
  <c r="I65" i="55"/>
  <c r="M65" i="55"/>
  <c r="N64" i="55" s="1"/>
  <c r="E80" i="56"/>
  <c r="C77" i="55"/>
  <c r="E78" i="56"/>
  <c r="C75" i="55"/>
  <c r="E79" i="56"/>
  <c r="C76" i="55"/>
  <c r="E75" i="56"/>
  <c r="C72" i="55"/>
  <c r="E81" i="56"/>
  <c r="C78" i="55"/>
  <c r="E77" i="56"/>
  <c r="C74" i="55"/>
  <c r="E74" i="56"/>
  <c r="C71" i="55"/>
  <c r="E76" i="56"/>
  <c r="C73" i="55"/>
  <c r="M84" i="55" l="1"/>
  <c r="N83" i="55" s="1"/>
  <c r="M86" i="55"/>
  <c r="N85" i="55" s="1"/>
  <c r="M85" i="55"/>
  <c r="N84" i="55" s="1"/>
  <c r="I73" i="55"/>
  <c r="M73" i="55"/>
  <c r="N72" i="55" s="1"/>
  <c r="I72" i="55"/>
  <c r="M72" i="55"/>
  <c r="N71" i="55" s="1"/>
  <c r="I75" i="55"/>
  <c r="M75" i="55"/>
  <c r="I74" i="55"/>
  <c r="M74" i="55"/>
  <c r="N73" i="55" s="1"/>
  <c r="I71" i="55"/>
  <c r="M71" i="55"/>
  <c r="N70" i="55" s="1"/>
  <c r="I78" i="55"/>
  <c r="M78" i="55"/>
  <c r="N77" i="55" s="1"/>
  <c r="I76" i="55"/>
  <c r="M76" i="55"/>
  <c r="N75" i="55" s="1"/>
  <c r="I77" i="55"/>
  <c r="M77" i="55"/>
  <c r="N76" i="55" s="1"/>
  <c r="E84" i="56"/>
  <c r="C81" i="55"/>
  <c r="E85" i="56"/>
  <c r="C82" i="55"/>
  <c r="E83" i="56"/>
  <c r="C80" i="55"/>
  <c r="E82" i="56"/>
  <c r="C79" i="55"/>
  <c r="M93" i="55" l="1"/>
  <c r="N92" i="55" s="1"/>
  <c r="M87" i="55"/>
  <c r="N86" i="55" s="1"/>
  <c r="M91" i="55"/>
  <c r="M92" i="55"/>
  <c r="M89" i="55"/>
  <c r="N88" i="55" s="1"/>
  <c r="M94" i="55"/>
  <c r="N93" i="55" s="1"/>
  <c r="M95" i="55"/>
  <c r="N94" i="55" s="1"/>
  <c r="M90" i="55"/>
  <c r="N89" i="55" s="1"/>
  <c r="M88" i="55"/>
  <c r="N87" i="55" s="1"/>
  <c r="I79" i="55"/>
  <c r="M79" i="55"/>
  <c r="N78" i="55" s="1"/>
  <c r="I82" i="55"/>
  <c r="M82" i="55"/>
  <c r="N81" i="55" s="1"/>
  <c r="I80" i="55"/>
  <c r="M80" i="55"/>
  <c r="N79" i="55" s="1"/>
  <c r="I81" i="55"/>
  <c r="M81" i="55"/>
  <c r="N80" i="55" s="1"/>
  <c r="M97" i="55" l="1"/>
  <c r="N96" i="55" s="1"/>
  <c r="M96" i="55"/>
  <c r="N95" i="55" s="1"/>
  <c r="M98" i="55"/>
  <c r="N97" i="55" s="1"/>
  <c r="M99" i="55"/>
  <c r="N98" i="55" s="1"/>
</calcChain>
</file>

<file path=xl/sharedStrings.xml><?xml version="1.0" encoding="utf-8"?>
<sst xmlns="http://schemas.openxmlformats.org/spreadsheetml/2006/main" count="1191" uniqueCount="126">
  <si>
    <t>Date</t>
  </si>
  <si>
    <t>Q1</t>
  </si>
  <si>
    <t>Q2</t>
  </si>
  <si>
    <t>Q3</t>
  </si>
  <si>
    <t>Q4</t>
  </si>
  <si>
    <t>Coal</t>
  </si>
  <si>
    <t>Gas</t>
  </si>
  <si>
    <t>Fuel</t>
  </si>
  <si>
    <t>LSFO</t>
  </si>
  <si>
    <t>Gasoil</t>
  </si>
  <si>
    <t>CO2</t>
  </si>
  <si>
    <t>Year</t>
  </si>
  <si>
    <t>Units</t>
  </si>
  <si>
    <t>Quarter</t>
  </si>
  <si>
    <t>Property</t>
  </si>
  <si>
    <t>Value</t>
  </si>
  <si>
    <t>Band</t>
  </si>
  <si>
    <t>Date From</t>
  </si>
  <si>
    <t>Date To</t>
  </si>
  <si>
    <t>Timeslice</t>
  </si>
  <si>
    <t>Data File</t>
  </si>
  <si>
    <t>Scenario</t>
  </si>
  <si>
    <t>Price</t>
  </si>
  <si>
    <t>€/GJ</t>
  </si>
  <si>
    <t/>
  </si>
  <si>
    <t>Aughinish Gas</t>
  </si>
  <si>
    <t>Synergen Gas</t>
  </si>
  <si>
    <t>Coal ARA API2 $/t</t>
  </si>
  <si>
    <t>Gas p/th</t>
  </si>
  <si>
    <t>Gasoil $/t</t>
  </si>
  <si>
    <t>LSFO $/t</t>
  </si>
  <si>
    <t>Carbon €/t</t>
  </si>
  <si>
    <t>Index prices</t>
  </si>
  <si>
    <t>Exchange rates</t>
  </si>
  <si>
    <t>ROI</t>
  </si>
  <si>
    <t>NI Carbon Floor</t>
  </si>
  <si>
    <t>EUR to USD</t>
  </si>
  <si>
    <t>EUR to GBP</t>
  </si>
  <si>
    <t>Support Rate (£)</t>
  </si>
  <si>
    <t>GB Carbon Floor</t>
  </si>
  <si>
    <t>Support Rate (€)</t>
  </si>
  <si>
    <t>Fuel Adder 1</t>
  </si>
  <si>
    <t>Fuel Adder 2</t>
  </si>
  <si>
    <t>Commodity</t>
  </si>
  <si>
    <t>Market</t>
  </si>
  <si>
    <t>Name</t>
  </si>
  <si>
    <t xml:space="preserve"> Currency</t>
  </si>
  <si>
    <t>Value (traded units)</t>
  </si>
  <si>
    <t>Adder 1 Value €/GJ</t>
  </si>
  <si>
    <t>Adder 2 Value €/GJ</t>
  </si>
  <si>
    <t>Total adder</t>
  </si>
  <si>
    <t>Transport cost</t>
  </si>
  <si>
    <t>t</t>
  </si>
  <si>
    <t>NI</t>
  </si>
  <si>
    <t>API#2 physical delivery premium</t>
  </si>
  <si>
    <t>Transhipment and Port Duties</t>
  </si>
  <si>
    <t>Gas transport adder (GBP)</t>
  </si>
  <si>
    <t>th</t>
  </si>
  <si>
    <t>Gas transport adder (EUR)</t>
  </si>
  <si>
    <t xml:space="preserve">NI Commodity Element of Tx and UK Tx </t>
  </si>
  <si>
    <t>GB</t>
  </si>
  <si>
    <t>GB Commodity Element of Tx</t>
  </si>
  <si>
    <t xml:space="preserve">GO transport adder </t>
  </si>
  <si>
    <t>Delivery to site (premium on platts)</t>
  </si>
  <si>
    <t>LSHFO transport adder</t>
  </si>
  <si>
    <t>Uplift to Platts to cover delivery, no excise duty</t>
  </si>
  <si>
    <t>Uplift to Platts to cover differential between FOB and CIF - note freight costs currently low but creeping up slightly</t>
  </si>
  <si>
    <t>Short Term Gas Capacity</t>
  </si>
  <si>
    <t>MWh</t>
  </si>
  <si>
    <t>Conversion</t>
  </si>
  <si>
    <t>Markets</t>
  </si>
  <si>
    <t>Fuels</t>
  </si>
  <si>
    <t>PLEXOS</t>
  </si>
  <si>
    <t>Calorific value GJ/t</t>
  </si>
  <si>
    <t>GJ/th (inc HHV to LHV conv.)</t>
  </si>
  <si>
    <t>Distillate</t>
  </si>
  <si>
    <t>Oil</t>
  </si>
  <si>
    <t>Gas Capacity</t>
  </si>
  <si>
    <t>GJ/MWh</t>
  </si>
  <si>
    <t>Emission Factor tCO2/GJ</t>
  </si>
  <si>
    <t>Oxidation Factor</t>
  </si>
  <si>
    <t>Final Emission factor</t>
  </si>
  <si>
    <t>Fuel price €/GJ</t>
  </si>
  <si>
    <t>Synergen Gas Discount</t>
  </si>
  <si>
    <t>Carbon price € / kg</t>
  </si>
  <si>
    <t>Emission</t>
  </si>
  <si>
    <t>€/kg</t>
  </si>
  <si>
    <t>CO2 GB</t>
  </si>
  <si>
    <t>Shadow Price</t>
  </si>
  <si>
    <t>2016/17</t>
  </si>
  <si>
    <t>2017/18</t>
  </si>
  <si>
    <t>FY for CPS</t>
  </si>
  <si>
    <t>USD_DET</t>
  </si>
  <si>
    <t>GBP_DET</t>
  </si>
  <si>
    <t>EUR_DET</t>
  </si>
  <si>
    <t>FY</t>
  </si>
  <si>
    <t>Q ID</t>
  </si>
  <si>
    <t xml:space="preserve">Carbon price support </t>
  </si>
  <si>
    <t>EUR to EUR</t>
  </si>
  <si>
    <t>Scenario name:</t>
  </si>
  <si>
    <t>Fuel Prices for PLEXOS:</t>
  </si>
  <si>
    <t>Emissions Prices for PLEXOS:</t>
  </si>
  <si>
    <t>Sets:</t>
  </si>
  <si>
    <t>Emission factors:</t>
  </si>
  <si>
    <t>Fixed conversions:</t>
  </si>
  <si>
    <t>Range for contracts:</t>
  </si>
  <si>
    <t>Other:</t>
  </si>
  <si>
    <t>Short term gas capacity (EUR) (LHV)</t>
  </si>
  <si>
    <t>Title</t>
  </si>
  <si>
    <t>Client</t>
  </si>
  <si>
    <t>Author</t>
  </si>
  <si>
    <t>Version</t>
  </si>
  <si>
    <t xml:space="preserve">While Baringa Partners considers that the information and opinions given in this work are sound, all parties must rely upon their own skill and judgement when interpreting or making use of it.  In particular any forecasts, analysis or advice that Baringa Partners provides may, by necessity, be based on assumptions with respect to future market events and conditions.
While Baringa Partners believes such assumptions to be reasonable for purposes of preparing its analysis, actual future outcomes may differ, perhaps materially, from those predicted or forecasted.  Baringa Partners cannot, and does not, accept liability for losses suffered, whether direct or consequential, arising out of any reliance on its analysis. </t>
  </si>
  <si>
    <t xml:space="preserve">SEM commodity price input </t>
  </si>
  <si>
    <t>CER / NIAUR</t>
  </si>
  <si>
    <t>2018/19</t>
  </si>
  <si>
    <t>Luke Humphry / Aine Lane</t>
  </si>
  <si>
    <r>
      <rPr>
        <b/>
        <sz val="8"/>
        <color theme="1"/>
        <rFont val="Calibri"/>
        <family val="2"/>
        <scheme val="minor"/>
      </rPr>
      <t>Copyright © Baringa Partners LLP 2017.</t>
    </r>
    <r>
      <rPr>
        <sz val="8"/>
        <color theme="1"/>
        <rFont val="Calibri"/>
        <family val="2"/>
        <scheme val="minor"/>
      </rPr>
      <t xml:space="preserve">  All rights reserved. This document is subject to contract and contains confidential and proprietary information.  No part of this document may be reproduced without the prior written permission of Baringa Partners LLP.</t>
    </r>
  </si>
  <si>
    <t>2019/20</t>
  </si>
  <si>
    <t>2020/21</t>
  </si>
  <si>
    <t>=</t>
  </si>
  <si>
    <t>Action</t>
  </si>
  <si>
    <t>Expression</t>
  </si>
  <si>
    <t>RoI</t>
  </si>
  <si>
    <t>RoI Gas w STC</t>
  </si>
  <si>
    <t>Quarterly Commodity Prices_Nov-2017dummy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</si>
</sst>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 #,##0.00_-;_-* &quot;-&quot;??_-;_-@_-"/>
    <numFmt numFmtId="164" formatCode="0.0"/>
    <numFmt numFmtId="165" formatCode="0.000"/>
    <numFmt numFmtId="166" formatCode="0.0000"/>
    <numFmt numFmtId="167" formatCode="_(* #,##0.00_);_(* \(#,##0.00\);_(* &quot;-&quot;??_);_(@_)"/>
    <numFmt numFmtId="168" formatCode="0.00000"/>
    <numFmt numFmtId="169" formatCode="0.0000000"/>
    <numFmt numFmtId="170" formatCode="0.000000"/>
    <numFmt numFmtId="171" formatCode="0.0%"/>
  </numFmts>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10"/>
      <color theme="1"/>
      <name val="Arial"/>
      <family val="2"/>
    </font>
    <font>
      <sz val="10"/>
      <color theme="1"/>
      <name val="Arial"/>
      <family val="2"/>
    </font>
    <font>
      <sz val="12"/>
      <name val="Times New Roman"/>
      <family val="1"/>
    </font>
    <font>
      <b/>
      <i/>
      <sz val="10"/>
      <color theme="0"/>
      <name val="Gill Sans MT"/>
      <family val="2"/>
    </font>
    <font>
      <sz val="10"/>
      <color indexed="8"/>
      <name val="Arial"/>
      <family val="2"/>
    </font>
    <font>
      <sz val="10"/>
      <color theme="1"/>
      <name val="Gill Sans MT"/>
      <family val="2"/>
    </font>
    <font>
      <sz val="10"/>
      <name val="Gill Sans MT"/>
      <family val="2"/>
    </font>
    <font>
      <b/>
      <i/>
      <sz val="12"/>
      <color theme="0"/>
      <name val="Gill Sans MT"/>
      <family val="2"/>
    </font>
    <font>
      <b/>
      <i/>
      <sz val="10"/>
      <name val="Arial"/>
      <family val="2"/>
    </font>
    <font>
      <i/>
      <sz val="10"/>
      <name val="Arial"/>
      <family val="2"/>
    </font>
    <font>
      <i/>
      <sz val="10"/>
      <color theme="0" tint="-0.249977111117893"/>
      <name val="Arial"/>
      <family val="2"/>
    </font>
    <font>
      <sz val="10"/>
      <color theme="0"/>
      <name val="Arial"/>
      <family val="2"/>
    </font>
    <font>
      <b/>
      <i/>
      <sz val="10"/>
      <color theme="1"/>
      <name val="Arial"/>
      <family val="2"/>
    </font>
    <font>
      <i/>
      <sz val="10"/>
      <color theme="0" tint="-0.499984740745262"/>
      <name val="Arial"/>
      <family val="2"/>
    </font>
    <font>
      <b/>
      <i/>
      <sz val="10"/>
      <color theme="0"/>
      <name val="Arial"/>
      <family val="2"/>
    </font>
    <font>
      <sz val="8"/>
      <color theme="1"/>
      <name val="Calibri"/>
      <family val="2"/>
      <scheme val="minor"/>
    </font>
    <font>
      <b/>
      <sz val="8"/>
      <color theme="1"/>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
      <patternFill patternType="solid">
        <fgColor theme="0" tint="-0.14996795556505021"/>
        <bgColor indexed="64"/>
      </patternFill>
    </fill>
    <fill>
      <patternFill patternType="solid">
        <fgColor rgb="FFC00000"/>
        <bgColor indexed="64"/>
      </patternFill>
    </fill>
    <fill>
      <patternFill patternType="solid">
        <fgColor theme="0" tint="-0.34998626667073579"/>
        <bgColor indexed="64"/>
      </patternFill>
    </fill>
    <fill>
      <patternFill patternType="solid">
        <fgColor rgb="FFFFFF99"/>
        <bgColor rgb="FFFFFF99"/>
      </patternFill>
    </fill>
    <fill>
      <patternFill patternType="solid">
        <fgColor theme="8" tint="-0.499984740745262"/>
        <bgColor indexed="64"/>
      </patternFill>
    </fill>
    <fill>
      <patternFill patternType="solid">
        <fgColor theme="3" tint="0.59996337778862885"/>
        <bgColor indexed="64"/>
      </patternFill>
    </fill>
    <fill>
      <patternFill patternType="solid">
        <fgColor theme="0"/>
        <bgColor rgb="FFFFFF99"/>
      </patternFill>
    </fill>
    <fill>
      <patternFill patternType="solid">
        <fgColor theme="0"/>
      </patternFill>
    </fill>
    <fill>
      <patternFill patternType="solid">
        <fgColor theme="3"/>
        <bgColor indexed="64"/>
      </patternFill>
    </fill>
    <fill>
      <patternFill patternType="solid">
        <fgColor theme="0" tint="-0.14999847407452621"/>
        <bgColor indexed="64"/>
      </patternFill>
    </fill>
    <fill>
      <patternFill patternType="solid">
        <fgColor theme="3"/>
        <bgColor indexed="0"/>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theme="0" tint="-0.14996795556505021"/>
      </left>
      <right style="thin">
        <color theme="0" tint="-0.14996795556505021"/>
      </right>
      <top/>
      <bottom style="thick">
        <color theme="0"/>
      </bottom>
      <diagonal/>
    </border>
    <border>
      <left style="thin">
        <color indexed="64"/>
      </left>
      <right/>
      <top style="thin">
        <color indexed="64"/>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double">
        <color theme="0"/>
      </right>
      <top style="thin">
        <color theme="0" tint="-0.14993743705557422"/>
      </top>
      <bottom style="thin">
        <color theme="0" tint="-0.14993743705557422"/>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theme="3"/>
      </left>
      <right style="thin">
        <color theme="3"/>
      </right>
      <top style="thin">
        <color theme="3"/>
      </top>
      <bottom style="thin">
        <color theme="3"/>
      </bottom>
      <diagonal/>
    </border>
    <border>
      <left style="thin">
        <color indexed="8"/>
      </left>
      <right style="thin">
        <color theme="0"/>
      </right>
      <top style="thin">
        <color indexed="8"/>
      </top>
      <bottom/>
      <diagonal/>
    </border>
    <border>
      <left style="thin">
        <color theme="0"/>
      </left>
      <right style="thin">
        <color theme="0"/>
      </right>
      <top style="thin">
        <color indexed="8"/>
      </top>
      <bottom/>
      <diagonal/>
    </border>
    <border>
      <left style="thin">
        <color theme="0"/>
      </left>
      <right style="thin">
        <color indexed="8"/>
      </right>
      <top style="thin">
        <color indexed="8"/>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bottom/>
      <diagonal/>
    </border>
  </borders>
  <cellStyleXfs count="5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43" fontId="18" fillId="0" borderId="0" applyFont="0" applyFill="0" applyBorder="0" applyAlignment="0" applyProtection="0"/>
    <xf numFmtId="43" fontId="1" fillId="0" borderId="0" applyFont="0" applyFill="0" applyBorder="0" applyAlignment="0" applyProtection="0"/>
    <xf numFmtId="0" fontId="22" fillId="0" borderId="0"/>
    <xf numFmtId="167" fontId="22" fillId="0" borderId="0" applyFont="0" applyFill="0" applyBorder="0" applyAlignment="0" applyProtection="0"/>
    <xf numFmtId="9" fontId="22" fillId="0" borderId="0" applyFont="0" applyFill="0" applyBorder="0" applyAlignment="0" applyProtection="0"/>
    <xf numFmtId="9" fontId="1" fillId="0" borderId="0" applyFont="0" applyFill="0" applyBorder="0" applyAlignment="0" applyProtection="0"/>
    <xf numFmtId="0" fontId="23" fillId="36" borderId="23" applyProtection="0">
      <alignment horizontal="center" vertical="center"/>
    </xf>
    <xf numFmtId="0" fontId="24" fillId="0" borderId="0"/>
    <xf numFmtId="0" fontId="25" fillId="35" borderId="0" applyNumberFormat="0" applyAlignment="0" applyProtection="0"/>
    <xf numFmtId="0" fontId="25" fillId="37" borderId="0" applyNumberFormat="0" applyAlignment="0" applyProtection="0"/>
    <xf numFmtId="0" fontId="26" fillId="38" borderId="0" applyNumberFormat="0" applyAlignment="0" applyProtection="0"/>
    <xf numFmtId="0" fontId="23" fillId="39" borderId="0" applyNumberFormat="0" applyAlignment="0" applyProtection="0"/>
    <xf numFmtId="167" fontId="1" fillId="0" borderId="0" applyFont="0" applyFill="0" applyBorder="0" applyAlignment="0" applyProtection="0"/>
    <xf numFmtId="0" fontId="27" fillId="36" borderId="0" applyNumberFormat="0" applyProtection="0">
      <alignment horizontal="center" vertical="center"/>
    </xf>
    <xf numFmtId="0" fontId="25" fillId="40" borderId="25" applyAlignment="0" applyProtection="0"/>
    <xf numFmtId="0" fontId="23" fillId="36" borderId="26" applyNumberFormat="0" applyAlignment="0" applyProtection="0">
      <alignment horizontal="center" vertical="center"/>
    </xf>
  </cellStyleXfs>
  <cellXfs count="160">
    <xf numFmtId="0" fontId="0" fillId="0" borderId="0" xfId="0"/>
    <xf numFmtId="0" fontId="21" fillId="33" borderId="0" xfId="0" applyFont="1" applyFill="1"/>
    <xf numFmtId="0" fontId="21" fillId="33" borderId="13" xfId="0" applyFont="1" applyFill="1" applyBorder="1"/>
    <xf numFmtId="0" fontId="21" fillId="33" borderId="0" xfId="0" applyFont="1" applyFill="1" applyAlignment="1">
      <alignment horizontal="center"/>
    </xf>
    <xf numFmtId="0" fontId="20" fillId="33" borderId="0" xfId="0" applyFont="1" applyFill="1"/>
    <xf numFmtId="0" fontId="18" fillId="33" borderId="0" xfId="0" applyFont="1" applyFill="1"/>
    <xf numFmtId="0" fontId="18" fillId="33" borderId="0" xfId="0" applyFont="1" applyFill="1" applyBorder="1"/>
    <xf numFmtId="0" fontId="21" fillId="33" borderId="0" xfId="51" applyFont="1" applyFill="1" applyProtection="1">
      <protection locked="0"/>
    </xf>
    <xf numFmtId="0" fontId="18" fillId="41" borderId="0" xfId="53" applyFont="1" applyFill="1" applyProtection="1">
      <protection locked="0"/>
    </xf>
    <xf numFmtId="0" fontId="18" fillId="33" borderId="0" xfId="51" applyFont="1" applyFill="1" applyProtection="1">
      <protection locked="0"/>
    </xf>
    <xf numFmtId="0" fontId="19" fillId="33" borderId="0" xfId="51" applyFont="1" applyFill="1" applyProtection="1">
      <protection locked="0"/>
    </xf>
    <xf numFmtId="0" fontId="18" fillId="33" borderId="0" xfId="51" applyFont="1" applyFill="1" applyAlignment="1" applyProtection="1">
      <alignment horizontal="right"/>
      <protection locked="0"/>
    </xf>
    <xf numFmtId="0" fontId="18" fillId="33" borderId="0" xfId="51" applyFont="1" applyFill="1" applyBorder="1" applyProtection="1">
      <protection locked="0"/>
    </xf>
    <xf numFmtId="0" fontId="28" fillId="33" borderId="0" xfId="49" applyFont="1" applyFill="1" applyBorder="1" applyProtection="1">
      <alignment horizontal="center" vertical="center"/>
      <protection locked="0"/>
    </xf>
    <xf numFmtId="0" fontId="19" fillId="33" borderId="0" xfId="51" applyFont="1" applyFill="1" applyBorder="1" applyProtection="1">
      <protection locked="0"/>
    </xf>
    <xf numFmtId="0" fontId="18" fillId="33" borderId="15" xfId="0" applyFont="1" applyFill="1" applyBorder="1"/>
    <xf numFmtId="0" fontId="18" fillId="33" borderId="21" xfId="0" applyFont="1" applyFill="1" applyBorder="1"/>
    <xf numFmtId="0" fontId="18" fillId="33" borderId="21" xfId="51" applyFont="1" applyFill="1" applyBorder="1" applyProtection="1">
      <protection locked="0"/>
    </xf>
    <xf numFmtId="0" fontId="18" fillId="33" borderId="15" xfId="51" applyFont="1" applyFill="1" applyBorder="1" applyProtection="1">
      <protection locked="0"/>
    </xf>
    <xf numFmtId="0" fontId="18" fillId="33" borderId="18" xfId="0" applyFont="1" applyFill="1" applyBorder="1"/>
    <xf numFmtId="0" fontId="18" fillId="33" borderId="22" xfId="0" applyFont="1" applyFill="1" applyBorder="1"/>
    <xf numFmtId="0" fontId="18" fillId="33" borderId="19" xfId="0" applyFont="1" applyFill="1" applyBorder="1"/>
    <xf numFmtId="0" fontId="18" fillId="33" borderId="19" xfId="51" applyFont="1" applyFill="1" applyBorder="1" applyProtection="1">
      <protection locked="0"/>
    </xf>
    <xf numFmtId="0" fontId="18" fillId="33" borderId="20" xfId="51" applyFont="1" applyFill="1" applyBorder="1" applyProtection="1">
      <protection locked="0"/>
    </xf>
    <xf numFmtId="0" fontId="29" fillId="33" borderId="22" xfId="16" applyFont="1" applyFill="1" applyBorder="1"/>
    <xf numFmtId="2" fontId="18" fillId="33" borderId="22" xfId="0" applyNumberFormat="1" applyFont="1" applyFill="1" applyBorder="1"/>
    <xf numFmtId="0" fontId="29" fillId="33" borderId="18" xfId="16" applyFont="1" applyFill="1" applyBorder="1"/>
    <xf numFmtId="0" fontId="29" fillId="33" borderId="0" xfId="16" applyFont="1" applyFill="1" applyBorder="1"/>
    <xf numFmtId="0" fontId="29" fillId="33" borderId="11" xfId="16" applyFont="1" applyFill="1" applyBorder="1"/>
    <xf numFmtId="0" fontId="29" fillId="33" borderId="21" xfId="16" applyFont="1" applyFill="1" applyBorder="1"/>
    <xf numFmtId="0" fontId="29" fillId="33" borderId="14" xfId="16" applyFont="1" applyFill="1" applyBorder="1"/>
    <xf numFmtId="168" fontId="18" fillId="33" borderId="11" xfId="0" applyNumberFormat="1" applyFont="1" applyFill="1" applyBorder="1"/>
    <xf numFmtId="168" fontId="18" fillId="33" borderId="14" xfId="0" applyNumberFormat="1" applyFont="1" applyFill="1" applyBorder="1"/>
    <xf numFmtId="0" fontId="18" fillId="33" borderId="18" xfId="0" applyFont="1" applyFill="1" applyBorder="1" applyAlignment="1">
      <alignment wrapText="1"/>
    </xf>
    <xf numFmtId="0" fontId="18" fillId="33" borderId="21" xfId="0" applyFont="1" applyFill="1" applyBorder="1" applyAlignment="1">
      <alignment wrapText="1"/>
    </xf>
    <xf numFmtId="2" fontId="18" fillId="33" borderId="18" xfId="0" applyNumberFormat="1" applyFont="1" applyFill="1" applyBorder="1"/>
    <xf numFmtId="2" fontId="18" fillId="33" borderId="0" xfId="0" applyNumberFormat="1" applyFont="1" applyFill="1" applyBorder="1"/>
    <xf numFmtId="2" fontId="18" fillId="33" borderId="11" xfId="0" applyNumberFormat="1" applyFont="1" applyFill="1" applyBorder="1"/>
    <xf numFmtId="2" fontId="18" fillId="33" borderId="21" xfId="0" applyNumberFormat="1" applyFont="1" applyFill="1" applyBorder="1"/>
    <xf numFmtId="2" fontId="18" fillId="33" borderId="14" xfId="0" applyNumberFormat="1" applyFont="1" applyFill="1" applyBorder="1"/>
    <xf numFmtId="166" fontId="18" fillId="33" borderId="11" xfId="0" applyNumberFormat="1" applyFont="1" applyFill="1" applyBorder="1"/>
    <xf numFmtId="166" fontId="18" fillId="33" borderId="14" xfId="0" applyNumberFormat="1" applyFont="1" applyFill="1" applyBorder="1"/>
    <xf numFmtId="0" fontId="18" fillId="34" borderId="11" xfId="0" applyFont="1" applyFill="1" applyBorder="1"/>
    <xf numFmtId="0" fontId="18" fillId="34" borderId="14" xfId="0" applyFont="1" applyFill="1" applyBorder="1"/>
    <xf numFmtId="170" fontId="18" fillId="34" borderId="11" xfId="0" applyNumberFormat="1" applyFont="1" applyFill="1" applyBorder="1"/>
    <xf numFmtId="170" fontId="18" fillId="34" borderId="14" xfId="0" applyNumberFormat="1" applyFont="1" applyFill="1" applyBorder="1"/>
    <xf numFmtId="168" fontId="18" fillId="34" borderId="11" xfId="0" applyNumberFormat="1" applyFont="1" applyFill="1" applyBorder="1"/>
    <xf numFmtId="168" fontId="18" fillId="34" borderId="14" xfId="0" applyNumberFormat="1" applyFont="1" applyFill="1" applyBorder="1"/>
    <xf numFmtId="165" fontId="19" fillId="42" borderId="0" xfId="11" applyNumberFormat="1" applyFont="1" applyFill="1" applyBorder="1"/>
    <xf numFmtId="2" fontId="19" fillId="42" borderId="0" xfId="11" applyNumberFormat="1" applyFont="1" applyFill="1" applyBorder="1"/>
    <xf numFmtId="0" fontId="19" fillId="33" borderId="0" xfId="52" applyFont="1" applyFill="1" applyBorder="1" applyProtection="1">
      <protection locked="0"/>
    </xf>
    <xf numFmtId="0" fontId="18" fillId="33" borderId="18" xfId="51" applyFont="1" applyFill="1" applyBorder="1" applyProtection="1">
      <protection locked="0"/>
    </xf>
    <xf numFmtId="165" fontId="18" fillId="42" borderId="0" xfId="11" applyNumberFormat="1" applyFont="1" applyFill="1" applyBorder="1" applyAlignment="1">
      <alignment horizontal="center"/>
    </xf>
    <xf numFmtId="2" fontId="18" fillId="42" borderId="0" xfId="11" applyNumberFormat="1" applyFont="1" applyFill="1" applyBorder="1" applyAlignment="1">
      <alignment horizontal="center"/>
    </xf>
    <xf numFmtId="2" fontId="18" fillId="42" borderId="11" xfId="11" applyNumberFormat="1" applyFont="1" applyFill="1" applyBorder="1" applyAlignment="1">
      <alignment horizontal="center"/>
    </xf>
    <xf numFmtId="165" fontId="18" fillId="42" borderId="22" xfId="11" applyNumberFormat="1" applyFont="1" applyFill="1" applyBorder="1" applyAlignment="1">
      <alignment horizontal="center"/>
    </xf>
    <xf numFmtId="2" fontId="18" fillId="42" borderId="22" xfId="11" applyNumberFormat="1" applyFont="1" applyFill="1" applyBorder="1" applyAlignment="1">
      <alignment horizontal="center"/>
    </xf>
    <xf numFmtId="2" fontId="18" fillId="42" borderId="14" xfId="11" applyNumberFormat="1" applyFont="1" applyFill="1" applyBorder="1" applyAlignment="1">
      <alignment horizontal="center"/>
    </xf>
    <xf numFmtId="165" fontId="18" fillId="42" borderId="18" xfId="11" applyNumberFormat="1" applyFont="1" applyFill="1" applyBorder="1" applyAlignment="1">
      <alignment horizontal="center"/>
    </xf>
    <xf numFmtId="165" fontId="18" fillId="42" borderId="11" xfId="11" applyNumberFormat="1" applyFont="1" applyFill="1" applyBorder="1" applyAlignment="1">
      <alignment horizontal="center"/>
    </xf>
    <xf numFmtId="165" fontId="18" fillId="42" borderId="21" xfId="11" applyNumberFormat="1" applyFont="1" applyFill="1" applyBorder="1" applyAlignment="1">
      <alignment horizontal="center"/>
    </xf>
    <xf numFmtId="165" fontId="18" fillId="42" borderId="14" xfId="11" applyNumberFormat="1" applyFont="1" applyFill="1" applyBorder="1" applyAlignment="1">
      <alignment horizontal="center"/>
    </xf>
    <xf numFmtId="2" fontId="18" fillId="33" borderId="24" xfId="0" applyNumberFormat="1" applyFont="1" applyFill="1" applyBorder="1"/>
    <xf numFmtId="2" fontId="18" fillId="33" borderId="17" xfId="0" applyNumberFormat="1" applyFont="1" applyFill="1" applyBorder="1"/>
    <xf numFmtId="2" fontId="18" fillId="33" borderId="16" xfId="0" applyNumberFormat="1" applyFont="1" applyFill="1" applyBorder="1"/>
    <xf numFmtId="168" fontId="18" fillId="33" borderId="16" xfId="0" applyNumberFormat="1" applyFont="1" applyFill="1" applyBorder="1"/>
    <xf numFmtId="166" fontId="18" fillId="33" borderId="16" xfId="0" applyNumberFormat="1" applyFont="1" applyFill="1" applyBorder="1"/>
    <xf numFmtId="0" fontId="21" fillId="33" borderId="0" xfId="52" applyFont="1" applyFill="1" applyProtection="1">
      <protection locked="0"/>
    </xf>
    <xf numFmtId="14" fontId="21" fillId="33" borderId="0" xfId="52" applyNumberFormat="1" applyFont="1" applyFill="1" applyProtection="1">
      <protection locked="0"/>
    </xf>
    <xf numFmtId="165" fontId="18" fillId="42" borderId="24" xfId="11" applyNumberFormat="1" applyFont="1" applyFill="1" applyBorder="1" applyAlignment="1">
      <alignment horizontal="center"/>
    </xf>
    <xf numFmtId="165" fontId="18" fillId="42" borderId="27" xfId="11" applyNumberFormat="1" applyFont="1" applyFill="1" applyBorder="1" applyAlignment="1">
      <alignment horizontal="center"/>
    </xf>
    <xf numFmtId="2" fontId="18" fillId="42" borderId="27" xfId="11" applyNumberFormat="1" applyFont="1" applyFill="1" applyBorder="1" applyAlignment="1">
      <alignment horizontal="center"/>
    </xf>
    <xf numFmtId="2" fontId="18" fillId="42" borderId="28" xfId="11" applyNumberFormat="1" applyFont="1" applyFill="1" applyBorder="1" applyAlignment="1">
      <alignment horizontal="center"/>
    </xf>
    <xf numFmtId="0" fontId="18" fillId="34" borderId="18" xfId="0" applyFont="1" applyFill="1" applyBorder="1" applyAlignment="1">
      <alignment horizontal="left"/>
    </xf>
    <xf numFmtId="0" fontId="18" fillId="34" borderId="21" xfId="0" applyFont="1" applyFill="1" applyBorder="1" applyAlignment="1">
      <alignment horizontal="left"/>
    </xf>
    <xf numFmtId="0" fontId="18" fillId="34" borderId="19" xfId="0" applyFont="1" applyFill="1" applyBorder="1" applyAlignment="1">
      <alignment horizontal="left"/>
    </xf>
    <xf numFmtId="0" fontId="18" fillId="34" borderId="20" xfId="0" applyFont="1" applyFill="1" applyBorder="1" applyAlignment="1">
      <alignment horizontal="left"/>
    </xf>
    <xf numFmtId="14" fontId="18" fillId="33" borderId="18" xfId="57" applyNumberFormat="1" applyFont="1" applyFill="1" applyBorder="1" applyAlignment="1">
      <alignment horizontal="left"/>
    </xf>
    <xf numFmtId="14" fontId="18" fillId="33" borderId="21" xfId="57" applyNumberFormat="1" applyFont="1" applyFill="1" applyBorder="1" applyAlignment="1">
      <alignment horizontal="left"/>
    </xf>
    <xf numFmtId="22" fontId="24" fillId="33" borderId="19" xfId="50" applyNumberFormat="1" applyFont="1" applyFill="1" applyBorder="1" applyAlignment="1">
      <alignment horizontal="right" wrapText="1"/>
    </xf>
    <xf numFmtId="22" fontId="24" fillId="33" borderId="20" xfId="50" applyNumberFormat="1" applyFont="1" applyFill="1" applyBorder="1" applyAlignment="1">
      <alignment horizontal="right" wrapText="1"/>
    </xf>
    <xf numFmtId="2" fontId="18" fillId="34" borderId="29" xfId="51" applyNumberFormat="1" applyFont="1" applyFill="1" applyBorder="1" applyAlignment="1" applyProtection="1">
      <alignment horizontal="center"/>
      <protection locked="0"/>
    </xf>
    <xf numFmtId="0" fontId="18" fillId="33" borderId="24" xfId="51" applyFont="1" applyFill="1" applyBorder="1" applyProtection="1">
      <protection locked="0"/>
    </xf>
    <xf numFmtId="2" fontId="18" fillId="33" borderId="10" xfId="51" applyNumberFormat="1" applyFont="1" applyFill="1" applyBorder="1" applyAlignment="1" applyProtection="1">
      <alignment horizontal="center"/>
      <protection locked="0"/>
    </xf>
    <xf numFmtId="0" fontId="18" fillId="34" borderId="0" xfId="0" applyFont="1" applyFill="1" applyBorder="1" applyAlignment="1">
      <alignment horizontal="center"/>
    </xf>
    <xf numFmtId="164" fontId="18" fillId="34" borderId="11" xfId="0" applyNumberFormat="1" applyFont="1" applyFill="1" applyBorder="1" applyAlignment="1">
      <alignment horizontal="center"/>
    </xf>
    <xf numFmtId="0" fontId="18" fillId="34" borderId="22" xfId="0" applyFont="1" applyFill="1" applyBorder="1" applyAlignment="1">
      <alignment horizontal="center"/>
    </xf>
    <xf numFmtId="0" fontId="18" fillId="34" borderId="16" xfId="0" applyFont="1" applyFill="1" applyBorder="1"/>
    <xf numFmtId="0" fontId="18" fillId="34" borderId="29" xfId="51" applyFont="1" applyFill="1" applyBorder="1" applyAlignment="1" applyProtection="1">
      <alignment horizontal="center"/>
      <protection locked="0"/>
    </xf>
    <xf numFmtId="0" fontId="18" fillId="33" borderId="18" xfId="0" applyFont="1" applyFill="1" applyBorder="1" applyAlignment="1">
      <alignment horizontal="left"/>
    </xf>
    <xf numFmtId="0" fontId="18" fillId="33" borderId="21" xfId="0" applyFont="1" applyFill="1" applyBorder="1" applyAlignment="1">
      <alignment horizontal="left"/>
    </xf>
    <xf numFmtId="0" fontId="18" fillId="33" borderId="19" xfId="0" applyFont="1" applyFill="1" applyBorder="1" applyAlignment="1">
      <alignment horizontal="left"/>
    </xf>
    <xf numFmtId="0" fontId="18" fillId="33" borderId="20" xfId="0" applyFont="1" applyFill="1" applyBorder="1" applyAlignment="1">
      <alignment horizontal="left"/>
    </xf>
    <xf numFmtId="0" fontId="28" fillId="33" borderId="0" xfId="51" applyFont="1" applyFill="1" applyBorder="1" applyProtection="1">
      <protection locked="0"/>
    </xf>
    <xf numFmtId="0" fontId="18" fillId="34" borderId="18" xfId="0" applyFont="1" applyFill="1" applyBorder="1" applyAlignment="1">
      <alignment horizontal="center"/>
    </xf>
    <xf numFmtId="0" fontId="18" fillId="34" borderId="21" xfId="0" applyFont="1" applyFill="1" applyBorder="1" applyAlignment="1">
      <alignment horizontal="center"/>
    </xf>
    <xf numFmtId="0" fontId="21" fillId="34" borderId="0" xfId="0" applyFont="1" applyFill="1"/>
    <xf numFmtId="0" fontId="30" fillId="33" borderId="0" xfId="52" applyFont="1" applyFill="1" applyProtection="1">
      <protection locked="0"/>
    </xf>
    <xf numFmtId="0" fontId="31" fillId="45" borderId="31" xfId="50" applyFont="1" applyFill="1" applyBorder="1" applyAlignment="1">
      <alignment horizontal="center"/>
    </xf>
    <xf numFmtId="0" fontId="31" fillId="45" borderId="32" xfId="50" applyFont="1" applyFill="1" applyBorder="1" applyAlignment="1">
      <alignment horizontal="center"/>
    </xf>
    <xf numFmtId="0" fontId="31" fillId="45" borderId="33" xfId="50" applyFont="1" applyFill="1" applyBorder="1" applyAlignment="1">
      <alignment horizontal="center"/>
    </xf>
    <xf numFmtId="0" fontId="24" fillId="33" borderId="30" xfId="50" applyFont="1" applyFill="1" applyBorder="1" applyAlignment="1">
      <alignment wrapText="1"/>
    </xf>
    <xf numFmtId="168" fontId="24" fillId="33" borderId="30" xfId="50" applyNumberFormat="1" applyFont="1" applyFill="1" applyBorder="1" applyAlignment="1">
      <alignment horizontal="right" wrapText="1"/>
    </xf>
    <xf numFmtId="0" fontId="24" fillId="33" borderId="30" xfId="50" applyFont="1" applyFill="1" applyBorder="1" applyAlignment="1">
      <alignment horizontal="right" wrapText="1"/>
    </xf>
    <xf numFmtId="22" fontId="24" fillId="33" borderId="30" xfId="50" applyNumberFormat="1" applyFont="1" applyFill="1" applyBorder="1" applyAlignment="1">
      <alignment horizontal="right" wrapText="1"/>
    </xf>
    <xf numFmtId="0" fontId="24" fillId="33" borderId="30" xfId="50" applyFont="1" applyFill="1" applyBorder="1" applyAlignment="1">
      <alignment horizontal="left"/>
    </xf>
    <xf numFmtId="0" fontId="24" fillId="44" borderId="30" xfId="50" applyFont="1" applyFill="1" applyBorder="1" applyAlignment="1">
      <alignment wrapText="1"/>
    </xf>
    <xf numFmtId="168" fontId="24" fillId="44" borderId="30" xfId="50" applyNumberFormat="1" applyFont="1" applyFill="1" applyBorder="1" applyAlignment="1">
      <alignment horizontal="right" wrapText="1"/>
    </xf>
    <xf numFmtId="0" fontId="24" fillId="44" borderId="30" xfId="50" applyFont="1" applyFill="1" applyBorder="1" applyAlignment="1">
      <alignment horizontal="right" wrapText="1"/>
    </xf>
    <xf numFmtId="22" fontId="24" fillId="44" borderId="30" xfId="50" applyNumberFormat="1" applyFont="1" applyFill="1" applyBorder="1" applyAlignment="1">
      <alignment horizontal="right" wrapText="1"/>
    </xf>
    <xf numFmtId="0" fontId="24" fillId="44" borderId="30" xfId="50" applyFont="1" applyFill="1" applyBorder="1" applyAlignment="1">
      <alignment horizontal="left"/>
    </xf>
    <xf numFmtId="0" fontId="32" fillId="33" borderId="0" xfId="51" applyFont="1" applyFill="1" applyProtection="1">
      <protection locked="0"/>
    </xf>
    <xf numFmtId="0" fontId="33" fillId="33" borderId="0" xfId="51" applyFont="1" applyFill="1" applyProtection="1">
      <protection locked="0"/>
    </xf>
    <xf numFmtId="0" fontId="31" fillId="43" borderId="34" xfId="51" applyFont="1" applyFill="1" applyBorder="1" applyProtection="1">
      <protection locked="0"/>
    </xf>
    <xf numFmtId="0" fontId="31" fillId="43" borderId="35" xfId="51" applyFont="1" applyFill="1" applyBorder="1" applyProtection="1">
      <protection locked="0"/>
    </xf>
    <xf numFmtId="0" fontId="31" fillId="43" borderId="36" xfId="51" applyFont="1" applyFill="1" applyBorder="1" applyProtection="1">
      <protection locked="0"/>
    </xf>
    <xf numFmtId="0" fontId="34" fillId="43" borderId="37" xfId="49" applyFont="1" applyFill="1" applyBorder="1" applyAlignment="1" applyProtection="1">
      <alignment horizontal="left" vertical="center" wrapText="1"/>
      <protection locked="0"/>
    </xf>
    <xf numFmtId="0" fontId="34" fillId="43" borderId="38" xfId="49" applyFont="1" applyFill="1" applyBorder="1" applyAlignment="1" applyProtection="1">
      <alignment horizontal="left" vertical="center" wrapText="1"/>
      <protection locked="0"/>
    </xf>
    <xf numFmtId="0" fontId="34" fillId="43" borderId="39" xfId="49" applyFont="1" applyFill="1" applyBorder="1" applyAlignment="1" applyProtection="1">
      <alignment horizontal="left" vertical="center" wrapText="1"/>
      <protection locked="0"/>
    </xf>
    <xf numFmtId="0" fontId="34" fillId="43" borderId="40" xfId="49" applyFont="1" applyFill="1" applyBorder="1" applyAlignment="1" applyProtection="1">
      <alignment horizontal="center" vertical="center"/>
      <protection locked="0"/>
    </xf>
    <xf numFmtId="0" fontId="34" fillId="43" borderId="41" xfId="49" applyFont="1" applyFill="1" applyBorder="1" applyAlignment="1" applyProtection="1">
      <alignment horizontal="center" vertical="center"/>
      <protection locked="0"/>
    </xf>
    <xf numFmtId="0" fontId="34" fillId="43" borderId="41" xfId="49" applyFont="1" applyFill="1" applyBorder="1" applyAlignment="1" applyProtection="1">
      <alignment horizontal="left" vertical="center"/>
      <protection locked="0"/>
    </xf>
    <xf numFmtId="0" fontId="34" fillId="43" borderId="41" xfId="49" applyFont="1" applyFill="1" applyBorder="1" applyAlignment="1" applyProtection="1">
      <alignment horizontal="center" vertical="center" wrapText="1"/>
      <protection locked="0"/>
    </xf>
    <xf numFmtId="0" fontId="34" fillId="43" borderId="42" xfId="49" applyFont="1" applyFill="1" applyBorder="1" applyAlignment="1" applyProtection="1">
      <alignment horizontal="center" vertical="center" wrapText="1"/>
      <protection locked="0"/>
    </xf>
    <xf numFmtId="0" fontId="34" fillId="43" borderId="40" xfId="49" applyFont="1" applyFill="1" applyBorder="1" applyProtection="1">
      <alignment horizontal="center" vertical="center"/>
      <protection locked="0"/>
    </xf>
    <xf numFmtId="14" fontId="34" fillId="43" borderId="41" xfId="49" applyNumberFormat="1" applyFont="1" applyFill="1" applyBorder="1" applyAlignment="1" applyProtection="1">
      <alignment horizontal="center" vertical="center"/>
      <protection locked="0"/>
    </xf>
    <xf numFmtId="14" fontId="34" fillId="43" borderId="42" xfId="49" applyNumberFormat="1" applyFont="1" applyFill="1" applyBorder="1" applyAlignment="1" applyProtection="1">
      <alignment horizontal="center" vertical="center"/>
      <protection locked="0"/>
    </xf>
    <xf numFmtId="0" fontId="28" fillId="33" borderId="0" xfId="49" applyFont="1" applyFill="1" applyBorder="1" applyAlignment="1" applyProtection="1">
      <alignment vertical="center"/>
      <protection locked="0"/>
    </xf>
    <xf numFmtId="0" fontId="32" fillId="33" borderId="0" xfId="0" applyFont="1" applyFill="1"/>
    <xf numFmtId="0" fontId="34" fillId="43" borderId="40" xfId="49" applyFont="1" applyFill="1" applyBorder="1" applyAlignment="1" applyProtection="1">
      <alignment horizontal="left" vertical="center"/>
      <protection locked="0"/>
    </xf>
    <xf numFmtId="0" fontId="34" fillId="43" borderId="42" xfId="49" applyFont="1" applyFill="1" applyBorder="1" applyAlignment="1" applyProtection="1">
      <alignment horizontal="left" vertical="center"/>
      <protection locked="0"/>
    </xf>
    <xf numFmtId="0" fontId="34" fillId="43" borderId="43" xfId="49" applyFont="1" applyFill="1" applyBorder="1" applyAlignment="1" applyProtection="1">
      <alignment horizontal="left" vertical="center"/>
      <protection locked="0"/>
    </xf>
    <xf numFmtId="0" fontId="34" fillId="43" borderId="44" xfId="49" applyFont="1" applyFill="1" applyBorder="1" applyProtection="1">
      <alignment horizontal="center" vertical="center"/>
      <protection locked="0"/>
    </xf>
    <xf numFmtId="0" fontId="34" fillId="43" borderId="45" xfId="49" applyFont="1" applyFill="1" applyBorder="1" applyProtection="1">
      <alignment horizontal="center" vertical="center"/>
      <protection locked="0"/>
    </xf>
    <xf numFmtId="0" fontId="18" fillId="34" borderId="19" xfId="0" applyFont="1" applyFill="1" applyBorder="1"/>
    <xf numFmtId="0" fontId="18" fillId="34" borderId="20" xfId="51" applyFont="1" applyFill="1" applyBorder="1" applyProtection="1">
      <protection locked="0"/>
    </xf>
    <xf numFmtId="0" fontId="18" fillId="34" borderId="19" xfId="51" applyFont="1" applyFill="1" applyBorder="1" applyProtection="1">
      <protection locked="0"/>
    </xf>
    <xf numFmtId="0" fontId="28" fillId="33" borderId="19" xfId="58" applyFont="1" applyFill="1" applyBorder="1" applyAlignment="1" applyProtection="1">
      <alignment horizontal="left" vertical="center"/>
      <protection locked="0"/>
    </xf>
    <xf numFmtId="0" fontId="18" fillId="34" borderId="19" xfId="0" applyFont="1" applyFill="1" applyBorder="1" applyAlignment="1">
      <alignment horizontal="center"/>
    </xf>
    <xf numFmtId="0" fontId="28" fillId="33" borderId="20" xfId="58" applyFont="1" applyFill="1" applyBorder="1" applyAlignment="1" applyProtection="1">
      <alignment horizontal="left" vertical="center"/>
      <protection locked="0"/>
    </xf>
    <xf numFmtId="169" fontId="18" fillId="34" borderId="20" xfId="57" applyNumberFormat="1" applyFont="1" applyFill="1" applyBorder="1" applyAlignment="1">
      <alignment horizontal="center"/>
    </xf>
    <xf numFmtId="0" fontId="18" fillId="33" borderId="12" xfId="51" applyFont="1" applyFill="1" applyBorder="1" applyAlignment="1" applyProtection="1">
      <alignment horizontal="left"/>
      <protection locked="0"/>
    </xf>
    <xf numFmtId="9" fontId="18" fillId="34" borderId="10" xfId="48" applyFont="1" applyFill="1" applyBorder="1" applyAlignment="1">
      <alignment horizontal="center"/>
    </xf>
    <xf numFmtId="2" fontId="18" fillId="34" borderId="11" xfId="0" applyNumberFormat="1" applyFont="1" applyFill="1" applyBorder="1"/>
    <xf numFmtId="2" fontId="18" fillId="34" borderId="14" xfId="0" applyNumberFormat="1" applyFont="1" applyFill="1" applyBorder="1"/>
    <xf numFmtId="0" fontId="0" fillId="33" borderId="0" xfId="0" applyFill="1"/>
    <xf numFmtId="0" fontId="16" fillId="33" borderId="0" xfId="0" applyFont="1" applyFill="1"/>
    <xf numFmtId="0" fontId="0" fillId="33" borderId="0" xfId="0" applyFont="1" applyFill="1"/>
    <xf numFmtId="14" fontId="0" fillId="33" borderId="0" xfId="0" applyNumberFormat="1" applyFill="1" applyAlignment="1">
      <alignment horizontal="left"/>
    </xf>
    <xf numFmtId="171" fontId="21" fillId="33" borderId="0" xfId="48" applyNumberFormat="1" applyFont="1" applyFill="1" applyProtection="1">
      <protection locked="0"/>
    </xf>
    <xf numFmtId="10" fontId="21" fillId="33" borderId="0" xfId="48" applyNumberFormat="1" applyFont="1" applyFill="1" applyProtection="1">
      <protection locked="0"/>
    </xf>
    <xf numFmtId="22" fontId="21" fillId="33" borderId="0" xfId="51" applyNumberFormat="1" applyFont="1" applyFill="1" applyProtection="1">
      <protection locked="0"/>
    </xf>
    <xf numFmtId="0" fontId="18" fillId="34" borderId="24" xfId="0" applyFont="1" applyFill="1" applyBorder="1" applyAlignment="1">
      <alignment horizontal="center"/>
    </xf>
    <xf numFmtId="0" fontId="18" fillId="34" borderId="27" xfId="0" applyFont="1" applyFill="1" applyBorder="1" applyAlignment="1">
      <alignment horizontal="center"/>
    </xf>
    <xf numFmtId="0" fontId="18" fillId="33" borderId="29" xfId="0" applyFont="1" applyFill="1" applyBorder="1" applyAlignment="1">
      <alignment horizontal="left"/>
    </xf>
    <xf numFmtId="164" fontId="18" fillId="34" borderId="28" xfId="0" applyNumberFormat="1" applyFont="1" applyFill="1" applyBorder="1" applyAlignment="1">
      <alignment horizontal="center"/>
    </xf>
    <xf numFmtId="164" fontId="18" fillId="34" borderId="14" xfId="0" applyNumberFormat="1" applyFont="1" applyFill="1" applyBorder="1" applyAlignment="1">
      <alignment horizontal="center"/>
    </xf>
    <xf numFmtId="0" fontId="35" fillId="33" borderId="0" xfId="0" applyFont="1" applyFill="1" applyAlignment="1">
      <alignment horizontal="left" vertical="top" wrapText="1"/>
    </xf>
    <xf numFmtId="0" fontId="35" fillId="33" borderId="0" xfId="0" applyFont="1" applyFill="1" applyAlignment="1">
      <alignment horizontal="left" vertical="top"/>
    </xf>
    <xf numFmtId="0" fontId="34" fillId="43" borderId="35" xfId="56" applyFont="1" applyFill="1" applyBorder="1" applyProtection="1">
      <alignment horizontal="center" vertical="center"/>
      <protection locked="0"/>
    </xf>
  </cellXfs>
  <cellStyles count="5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lumn_Heading_RP" xfId="49"/>
    <cellStyle name="Comma 2" xfId="43"/>
    <cellStyle name="Comma 2 2" xfId="44"/>
    <cellStyle name="Comma 3" xfId="46"/>
    <cellStyle name="Comma 4" xfId="55"/>
    <cellStyle name="Description_RP" xfId="54"/>
    <cellStyle name="Explanatory Text" xfId="16" builtinId="53" customBuiltin="1"/>
    <cellStyle name="Formula_RP" xfId="57"/>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eading1_RP" xfId="56"/>
    <cellStyle name="Input" xfId="9" builtinId="20" customBuiltin="1"/>
    <cellStyle name="Label_RP" xfId="53"/>
    <cellStyle name="Linked Cell" xfId="12" builtinId="24" customBuiltin="1"/>
    <cellStyle name="Neutral" xfId="8" builtinId="28" customBuiltin="1"/>
    <cellStyle name="Normal" xfId="0" builtinId="0"/>
    <cellStyle name="Normal 2" xfId="42"/>
    <cellStyle name="Normal 3" xfId="45"/>
    <cellStyle name="Normal_Outputs" xfId="50"/>
    <cellStyle name="Normal_RP" xfId="51"/>
    <cellStyle name="Note" xfId="15" builtinId="10" customBuiltin="1"/>
    <cellStyle name="Output" xfId="10" builtinId="21" customBuiltin="1"/>
    <cellStyle name="Percent" xfId="48" builtinId="5"/>
    <cellStyle name="Percent 2" xfId="47"/>
    <cellStyle name="ProgramArea_RP" xfId="52"/>
    <cellStyle name="Row_Heading_RP" xfId="58"/>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10</xdr:row>
      <xdr:rowOff>182769</xdr:rowOff>
    </xdr:from>
    <xdr:to>
      <xdr:col>8</xdr:col>
      <xdr:colOff>600075</xdr:colOff>
      <xdr:row>21</xdr:row>
      <xdr:rowOff>28575</xdr:rowOff>
    </xdr:to>
    <xdr:sp macro="" textlink="">
      <xdr:nvSpPr>
        <xdr:cNvPr id="2" name="TextBox 2"/>
        <xdr:cNvSpPr txBox="1">
          <a:spLocks noChangeArrowheads="1"/>
        </xdr:cNvSpPr>
      </xdr:nvSpPr>
      <xdr:spPr bwMode="auto">
        <a:xfrm>
          <a:off x="714375" y="2087769"/>
          <a:ext cx="5029200" cy="1941306"/>
        </a:xfrm>
        <a:prstGeom prst="rect">
          <a:avLst/>
        </a:prstGeom>
        <a:solidFill>
          <a:schemeClr val="bg1">
            <a:lumMod val="95000"/>
          </a:schemeClr>
        </a:solidFill>
        <a:ln w="9525">
          <a:noFill/>
          <a:miter lim="800000"/>
          <a:headEnd/>
          <a:tailEnd/>
        </a:ln>
      </xdr:spPr>
      <xdr:txBody>
        <a:bodyPr vertOverflow="clip" wrap="square" lIns="27432" tIns="36576" rIns="0" bIns="0" anchor="t" upright="1"/>
        <a:lstStyle/>
        <a:p>
          <a:pPr rtl="0"/>
          <a:r>
            <a:rPr lang="en-US" sz="1100" b="1" i="0" u="none" strike="noStrike" baseline="0">
              <a:solidFill>
                <a:srgbClr val="000000"/>
              </a:solidFill>
              <a:latin typeface="+mn-lt"/>
            </a:rPr>
            <a:t>Purpose of workbook:</a:t>
          </a:r>
        </a:p>
        <a:p>
          <a:pPr rtl="0"/>
          <a:endParaRPr lang="en-US" sz="1100" b="0" i="0" u="none" strike="noStrike" baseline="0">
            <a:solidFill>
              <a:srgbClr val="000000"/>
            </a:solidFill>
            <a:latin typeface="+mn-lt"/>
          </a:endParaRPr>
        </a:p>
        <a:p>
          <a:pPr rtl="0"/>
          <a:r>
            <a:rPr lang="en-US" sz="1100" b="0" i="0" u="none" strike="noStrike" baseline="0">
              <a:solidFill>
                <a:srgbClr val="000000"/>
              </a:solidFill>
              <a:latin typeface="+mn-lt"/>
            </a:rPr>
            <a:t>Converts quarterly commodity prices in market traded units into the correct format for the Regulatory Authorities (RAs) "Validated PLEXOS model" of the SEM. The RAs latest assumptions on fuel adders are included, updated in November 2017. This version of the commodity price input sheet is consistent with the public validated model published in Winter 2017.</a:t>
          </a:r>
        </a:p>
      </xdr:txBody>
    </xdr:sp>
    <xdr:clientData/>
  </xdr:twoCellAnchor>
  <xdr:twoCellAnchor editAs="absolute">
    <xdr:from>
      <xdr:col>0</xdr:col>
      <xdr:colOff>130249</xdr:colOff>
      <xdr:row>0</xdr:row>
      <xdr:rowOff>139373</xdr:rowOff>
    </xdr:from>
    <xdr:to>
      <xdr:col>3</xdr:col>
      <xdr:colOff>101526</xdr:colOff>
      <xdr:row>3</xdr:row>
      <xdr:rowOff>73351</xdr:rowOff>
    </xdr:to>
    <xdr:pic>
      <xdr:nvPicPr>
        <xdr:cNvPr id="3" name="Picture 2" descr="Baringa_logo_RGB"/>
        <xdr:cNvPicPr>
          <a:picLocks noChangeAspect="1" noChangeArrowheads="1"/>
        </xdr:cNvPicPr>
      </xdr:nvPicPr>
      <xdr:blipFill>
        <a:blip xmlns:r="http://schemas.openxmlformats.org/officeDocument/2006/relationships" r:embed="rId1" cstate="print"/>
        <a:srcRect/>
        <a:stretch>
          <a:fillRect/>
        </a:stretch>
      </xdr:blipFill>
      <xdr:spPr bwMode="auto">
        <a:xfrm>
          <a:off x="130249" y="139373"/>
          <a:ext cx="2066777" cy="50547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Baringa Excel">
      <a:dk1>
        <a:sysClr val="windowText" lastClr="000000"/>
      </a:dk1>
      <a:lt1>
        <a:sysClr val="window" lastClr="FFFFFF"/>
      </a:lt1>
      <a:dk2>
        <a:srgbClr val="00487C"/>
      </a:dk2>
      <a:lt2>
        <a:srgbClr val="A6CEE3"/>
      </a:lt2>
      <a:accent1>
        <a:srgbClr val="029AF8"/>
      </a:accent1>
      <a:accent2>
        <a:srgbClr val="E50083"/>
      </a:accent2>
      <a:accent3>
        <a:srgbClr val="808080"/>
      </a:accent3>
      <a:accent4>
        <a:srgbClr val="00487C"/>
      </a:accent4>
      <a:accent5>
        <a:srgbClr val="6A2152"/>
      </a:accent5>
      <a:accent6>
        <a:srgbClr val="22C4A5"/>
      </a:accent6>
      <a:hlink>
        <a:srgbClr val="262626"/>
      </a:hlink>
      <a:folHlink>
        <a:srgbClr val="7DF9FF"/>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I34"/>
  <sheetViews>
    <sheetView showGridLines="0" showRowColHeaders="0" tabSelected="1" workbookViewId="0"/>
  </sheetViews>
  <sheetFormatPr defaultRowHeight="15" x14ac:dyDescent="0.25"/>
  <cols>
    <col min="1" max="1" width="10.28515625" style="145" customWidth="1"/>
    <col min="2" max="2" width="10.42578125" style="145" customWidth="1"/>
    <col min="3" max="3" width="10.7109375" style="145" customWidth="1"/>
    <col min="4" max="16384" width="9.140625" style="145"/>
  </cols>
  <sheetData>
    <row r="1" spans="2:3" x14ac:dyDescent="0.25">
      <c r="B1"/>
    </row>
    <row r="6" spans="2:3" x14ac:dyDescent="0.25">
      <c r="B6" s="146" t="s">
        <v>108</v>
      </c>
      <c r="C6" s="146" t="s">
        <v>113</v>
      </c>
    </row>
    <row r="7" spans="2:3" x14ac:dyDescent="0.25">
      <c r="B7" s="147" t="s">
        <v>109</v>
      </c>
      <c r="C7" s="147" t="s">
        <v>114</v>
      </c>
    </row>
    <row r="8" spans="2:3" x14ac:dyDescent="0.25">
      <c r="B8" s="147" t="s">
        <v>110</v>
      </c>
      <c r="C8" s="145" t="s">
        <v>116</v>
      </c>
    </row>
    <row r="9" spans="2:3" x14ac:dyDescent="0.25">
      <c r="B9" s="147" t="s">
        <v>111</v>
      </c>
      <c r="C9" s="145" t="str">
        <f>"2.0"</f>
        <v>2.0</v>
      </c>
    </row>
    <row r="10" spans="2:3" x14ac:dyDescent="0.25">
      <c r="B10" s="147" t="s">
        <v>0</v>
      </c>
      <c r="C10" s="148">
        <v>43053</v>
      </c>
    </row>
    <row r="23" spans="2:9" x14ac:dyDescent="0.25">
      <c r="B23" s="157" t="s">
        <v>117</v>
      </c>
      <c r="C23" s="158"/>
      <c r="D23" s="158"/>
      <c r="E23" s="158"/>
      <c r="F23" s="158"/>
      <c r="G23" s="158"/>
      <c r="H23" s="158"/>
      <c r="I23" s="158"/>
    </row>
    <row r="24" spans="2:9" x14ac:dyDescent="0.25">
      <c r="B24" s="158"/>
      <c r="C24" s="158"/>
      <c r="D24" s="158"/>
      <c r="E24" s="158"/>
      <c r="F24" s="158"/>
      <c r="G24" s="158"/>
      <c r="H24" s="158"/>
      <c r="I24" s="158"/>
    </row>
    <row r="25" spans="2:9" x14ac:dyDescent="0.25">
      <c r="B25" s="158"/>
      <c r="C25" s="158"/>
      <c r="D25" s="158"/>
      <c r="E25" s="158"/>
      <c r="F25" s="158"/>
      <c r="G25" s="158"/>
      <c r="H25" s="158"/>
      <c r="I25" s="158"/>
    </row>
    <row r="26" spans="2:9" ht="15" customHeight="1" x14ac:dyDescent="0.25">
      <c r="B26" s="157" t="s">
        <v>112</v>
      </c>
      <c r="C26" s="157"/>
      <c r="D26" s="157"/>
      <c r="E26" s="157"/>
      <c r="F26" s="157"/>
      <c r="G26" s="157"/>
      <c r="H26" s="157"/>
      <c r="I26" s="157"/>
    </row>
    <row r="27" spans="2:9" x14ac:dyDescent="0.25">
      <c r="B27" s="157"/>
      <c r="C27" s="157"/>
      <c r="D27" s="157"/>
      <c r="E27" s="157"/>
      <c r="F27" s="157"/>
      <c r="G27" s="157"/>
      <c r="H27" s="157"/>
      <c r="I27" s="157"/>
    </row>
    <row r="28" spans="2:9" x14ac:dyDescent="0.25">
      <c r="B28" s="157"/>
      <c r="C28" s="157"/>
      <c r="D28" s="157"/>
      <c r="E28" s="157"/>
      <c r="F28" s="157"/>
      <c r="G28" s="157"/>
      <c r="H28" s="157"/>
      <c r="I28" s="157"/>
    </row>
    <row r="29" spans="2:9" x14ac:dyDescent="0.25">
      <c r="B29" s="157"/>
      <c r="C29" s="157"/>
      <c r="D29" s="157"/>
      <c r="E29" s="157"/>
      <c r="F29" s="157"/>
      <c r="G29" s="157"/>
      <c r="H29" s="157"/>
      <c r="I29" s="157"/>
    </row>
    <row r="30" spans="2:9" x14ac:dyDescent="0.25">
      <c r="B30" s="157"/>
      <c r="C30" s="157"/>
      <c r="D30" s="157"/>
      <c r="E30" s="157"/>
      <c r="F30" s="157"/>
      <c r="G30" s="157"/>
      <c r="H30" s="157"/>
      <c r="I30" s="157"/>
    </row>
    <row r="31" spans="2:9" x14ac:dyDescent="0.25">
      <c r="B31" s="157"/>
      <c r="C31" s="157"/>
      <c r="D31" s="157"/>
      <c r="E31" s="157"/>
      <c r="F31" s="157"/>
      <c r="G31" s="157"/>
      <c r="H31" s="157"/>
      <c r="I31" s="157"/>
    </row>
    <row r="32" spans="2:9" x14ac:dyDescent="0.25">
      <c r="B32" s="157"/>
      <c r="C32" s="157"/>
      <c r="D32" s="157"/>
      <c r="E32" s="157"/>
      <c r="F32" s="157"/>
      <c r="G32" s="157"/>
      <c r="H32" s="157"/>
      <c r="I32" s="157"/>
    </row>
    <row r="33" spans="2:9" x14ac:dyDescent="0.25">
      <c r="B33" s="157"/>
      <c r="C33" s="157"/>
      <c r="D33" s="157"/>
      <c r="E33" s="157"/>
      <c r="F33" s="157"/>
      <c r="G33" s="157"/>
      <c r="H33" s="157"/>
      <c r="I33" s="157"/>
    </row>
    <row r="34" spans="2:9" x14ac:dyDescent="0.25">
      <c r="B34" s="157"/>
      <c r="C34" s="157"/>
      <c r="D34" s="157"/>
      <c r="E34" s="157"/>
      <c r="F34" s="157"/>
      <c r="G34" s="157"/>
      <c r="H34" s="157"/>
      <c r="I34" s="157"/>
    </row>
  </sheetData>
  <mergeCells count="2">
    <mergeCell ref="B23:I25"/>
    <mergeCell ref="B26:I3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tint="-0.34998626667073579"/>
  </sheetPr>
  <dimension ref="B3:I55"/>
  <sheetViews>
    <sheetView zoomScale="80" zoomScaleNormal="80" workbookViewId="0"/>
  </sheetViews>
  <sheetFormatPr defaultRowHeight="12.75" x14ac:dyDescent="0.2"/>
  <cols>
    <col min="1" max="1" width="9.140625" style="1"/>
    <col min="2" max="2" width="33.5703125" style="1" customWidth="1"/>
    <col min="3" max="3" width="27" style="1" bestFit="1" customWidth="1"/>
    <col min="4" max="4" width="21.85546875" style="1" customWidth="1"/>
    <col min="5" max="5" width="11.5703125" style="1" bestFit="1" customWidth="1"/>
    <col min="6" max="6" width="11.5703125" style="1" customWidth="1"/>
    <col min="7" max="7" width="18" style="1" customWidth="1"/>
    <col min="8" max="8" width="17.28515625" style="1" bestFit="1" customWidth="1"/>
    <col min="9" max="9" width="16.42578125" style="1" bestFit="1" customWidth="1"/>
    <col min="10" max="16384" width="9.140625" style="1"/>
  </cols>
  <sheetData>
    <row r="3" spans="2:7" x14ac:dyDescent="0.2">
      <c r="B3" s="128" t="s">
        <v>105</v>
      </c>
    </row>
    <row r="5" spans="2:7" ht="15.75" customHeight="1" x14ac:dyDescent="0.2">
      <c r="B5" s="129" t="s">
        <v>11</v>
      </c>
      <c r="C5" s="121" t="s">
        <v>13</v>
      </c>
      <c r="D5" s="121" t="s">
        <v>96</v>
      </c>
      <c r="E5" s="121" t="s">
        <v>91</v>
      </c>
      <c r="F5" s="121" t="s">
        <v>0</v>
      </c>
      <c r="G5" s="130" t="s">
        <v>0</v>
      </c>
    </row>
    <row r="6" spans="2:7" x14ac:dyDescent="0.2">
      <c r="B6" s="73">
        <f>2018</f>
        <v>2018</v>
      </c>
      <c r="C6" s="75" t="s">
        <v>1</v>
      </c>
      <c r="D6" s="89" t="str">
        <f t="shared" ref="D6:D17" si="0">B6&amp;C6</f>
        <v>2018Q1</v>
      </c>
      <c r="E6" s="89" t="str">
        <f t="shared" ref="E6:E17" si="1">IF(MONTH(F6)&lt;4,(B6-1)&amp;"/"&amp;RIGHT((B6),2),(B6)&amp;"/"&amp;RIGHT((B6+1),2))</f>
        <v>2017/18</v>
      </c>
      <c r="F6" s="77">
        <f t="shared" ref="F6:F17" si="2">DATE(B6,(RIGHT(C6,1)-1)*3+1,1)</f>
        <v>43101</v>
      </c>
      <c r="G6" s="79">
        <f t="shared" ref="G6:G17" si="3">F6</f>
        <v>43101</v>
      </c>
    </row>
    <row r="7" spans="2:7" x14ac:dyDescent="0.2">
      <c r="B7" s="73">
        <f>B6</f>
        <v>2018</v>
      </c>
      <c r="C7" s="75" t="s">
        <v>2</v>
      </c>
      <c r="D7" s="89" t="str">
        <f t="shared" si="0"/>
        <v>2018Q2</v>
      </c>
      <c r="E7" s="89" t="str">
        <f t="shared" si="1"/>
        <v>2018/19</v>
      </c>
      <c r="F7" s="77">
        <f t="shared" si="2"/>
        <v>43191</v>
      </c>
      <c r="G7" s="79">
        <f t="shared" si="3"/>
        <v>43191</v>
      </c>
    </row>
    <row r="8" spans="2:7" x14ac:dyDescent="0.2">
      <c r="B8" s="73">
        <f t="shared" ref="B8:B9" si="4">B7</f>
        <v>2018</v>
      </c>
      <c r="C8" s="75" t="s">
        <v>3</v>
      </c>
      <c r="D8" s="89" t="str">
        <f t="shared" si="0"/>
        <v>2018Q3</v>
      </c>
      <c r="E8" s="89" t="str">
        <f t="shared" si="1"/>
        <v>2018/19</v>
      </c>
      <c r="F8" s="77">
        <f t="shared" si="2"/>
        <v>43282</v>
      </c>
      <c r="G8" s="79">
        <f t="shared" si="3"/>
        <v>43282</v>
      </c>
    </row>
    <row r="9" spans="2:7" x14ac:dyDescent="0.2">
      <c r="B9" s="73">
        <f t="shared" si="4"/>
        <v>2018</v>
      </c>
      <c r="C9" s="75" t="s">
        <v>4</v>
      </c>
      <c r="D9" s="89" t="str">
        <f t="shared" si="0"/>
        <v>2018Q4</v>
      </c>
      <c r="E9" s="89" t="str">
        <f t="shared" si="1"/>
        <v>2018/19</v>
      </c>
      <c r="F9" s="77">
        <f t="shared" si="2"/>
        <v>43374</v>
      </c>
      <c r="G9" s="79">
        <f t="shared" si="3"/>
        <v>43374</v>
      </c>
    </row>
    <row r="10" spans="2:7" x14ac:dyDescent="0.2">
      <c r="B10" s="73">
        <f>B6+1</f>
        <v>2019</v>
      </c>
      <c r="C10" s="75" t="s">
        <v>1</v>
      </c>
      <c r="D10" s="89" t="str">
        <f t="shared" si="0"/>
        <v>2019Q1</v>
      </c>
      <c r="E10" s="89" t="str">
        <f t="shared" si="1"/>
        <v>2018/19</v>
      </c>
      <c r="F10" s="77">
        <f t="shared" si="2"/>
        <v>43466</v>
      </c>
      <c r="G10" s="79">
        <f t="shared" si="3"/>
        <v>43466</v>
      </c>
    </row>
    <row r="11" spans="2:7" ht="13.5" customHeight="1" x14ac:dyDescent="0.2">
      <c r="B11" s="73">
        <f>B10</f>
        <v>2019</v>
      </c>
      <c r="C11" s="75" t="s">
        <v>2</v>
      </c>
      <c r="D11" s="89" t="str">
        <f t="shared" si="0"/>
        <v>2019Q2</v>
      </c>
      <c r="E11" s="89" t="str">
        <f t="shared" si="1"/>
        <v>2019/20</v>
      </c>
      <c r="F11" s="77">
        <f t="shared" si="2"/>
        <v>43556</v>
      </c>
      <c r="G11" s="79">
        <f t="shared" si="3"/>
        <v>43556</v>
      </c>
    </row>
    <row r="12" spans="2:7" ht="13.5" customHeight="1" x14ac:dyDescent="0.2">
      <c r="B12" s="73">
        <f t="shared" ref="B12:B13" si="5">B11</f>
        <v>2019</v>
      </c>
      <c r="C12" s="75" t="s">
        <v>3</v>
      </c>
      <c r="D12" s="89" t="str">
        <f t="shared" si="0"/>
        <v>2019Q3</v>
      </c>
      <c r="E12" s="89" t="str">
        <f t="shared" si="1"/>
        <v>2019/20</v>
      </c>
      <c r="F12" s="77">
        <f t="shared" si="2"/>
        <v>43647</v>
      </c>
      <c r="G12" s="79">
        <f t="shared" si="3"/>
        <v>43647</v>
      </c>
    </row>
    <row r="13" spans="2:7" ht="13.5" customHeight="1" x14ac:dyDescent="0.2">
      <c r="B13" s="73">
        <f t="shared" si="5"/>
        <v>2019</v>
      </c>
      <c r="C13" s="75" t="s">
        <v>4</v>
      </c>
      <c r="D13" s="89" t="str">
        <f t="shared" si="0"/>
        <v>2019Q4</v>
      </c>
      <c r="E13" s="89" t="str">
        <f t="shared" si="1"/>
        <v>2019/20</v>
      </c>
      <c r="F13" s="77">
        <f t="shared" si="2"/>
        <v>43739</v>
      </c>
      <c r="G13" s="79">
        <f t="shared" si="3"/>
        <v>43739</v>
      </c>
    </row>
    <row r="14" spans="2:7" ht="13.5" customHeight="1" x14ac:dyDescent="0.2">
      <c r="B14" s="73">
        <f>B10+1</f>
        <v>2020</v>
      </c>
      <c r="C14" s="75" t="s">
        <v>1</v>
      </c>
      <c r="D14" s="89" t="str">
        <f t="shared" si="0"/>
        <v>2020Q1</v>
      </c>
      <c r="E14" s="89" t="str">
        <f t="shared" si="1"/>
        <v>2019/20</v>
      </c>
      <c r="F14" s="77">
        <f t="shared" si="2"/>
        <v>43831</v>
      </c>
      <c r="G14" s="79">
        <f t="shared" si="3"/>
        <v>43831</v>
      </c>
    </row>
    <row r="15" spans="2:7" ht="13.5" customHeight="1" x14ac:dyDescent="0.2">
      <c r="B15" s="73">
        <f>B14</f>
        <v>2020</v>
      </c>
      <c r="C15" s="75" t="s">
        <v>2</v>
      </c>
      <c r="D15" s="89" t="str">
        <f t="shared" si="0"/>
        <v>2020Q2</v>
      </c>
      <c r="E15" s="89" t="str">
        <f t="shared" si="1"/>
        <v>2020/21</v>
      </c>
      <c r="F15" s="77">
        <f t="shared" si="2"/>
        <v>43922</v>
      </c>
      <c r="G15" s="79">
        <f t="shared" si="3"/>
        <v>43922</v>
      </c>
    </row>
    <row r="16" spans="2:7" ht="13.5" customHeight="1" x14ac:dyDescent="0.2">
      <c r="B16" s="73">
        <f>B15</f>
        <v>2020</v>
      </c>
      <c r="C16" s="75" t="s">
        <v>3</v>
      </c>
      <c r="D16" s="89" t="str">
        <f t="shared" si="0"/>
        <v>2020Q3</v>
      </c>
      <c r="E16" s="89" t="str">
        <f t="shared" si="1"/>
        <v>2020/21</v>
      </c>
      <c r="F16" s="77">
        <f t="shared" si="2"/>
        <v>44013</v>
      </c>
      <c r="G16" s="79">
        <f t="shared" si="3"/>
        <v>44013</v>
      </c>
    </row>
    <row r="17" spans="2:9" ht="13.5" customHeight="1" x14ac:dyDescent="0.2">
      <c r="B17" s="73">
        <f>B16</f>
        <v>2020</v>
      </c>
      <c r="C17" s="75" t="s">
        <v>4</v>
      </c>
      <c r="D17" s="89" t="str">
        <f t="shared" si="0"/>
        <v>2020Q4</v>
      </c>
      <c r="E17" s="89" t="str">
        <f t="shared" si="1"/>
        <v>2020/21</v>
      </c>
      <c r="F17" s="77">
        <f t="shared" si="2"/>
        <v>44105</v>
      </c>
      <c r="G17" s="79">
        <f t="shared" si="3"/>
        <v>44105</v>
      </c>
    </row>
    <row r="18" spans="2:9" x14ac:dyDescent="0.2">
      <c r="B18" s="74"/>
      <c r="C18" s="76"/>
      <c r="D18" s="90"/>
      <c r="E18" s="90"/>
      <c r="F18" s="78"/>
      <c r="G18" s="80"/>
    </row>
    <row r="21" spans="2:9" x14ac:dyDescent="0.2">
      <c r="B21" s="93" t="s">
        <v>104</v>
      </c>
      <c r="C21" s="12"/>
      <c r="D21" s="12"/>
      <c r="E21" s="12"/>
      <c r="F21" s="12"/>
      <c r="G21" s="12"/>
      <c r="H21" s="12"/>
      <c r="I21" s="12"/>
    </row>
    <row r="22" spans="2:9" x14ac:dyDescent="0.2">
      <c r="B22" s="12"/>
      <c r="C22" s="12"/>
      <c r="D22" s="12"/>
      <c r="E22" s="12"/>
      <c r="F22" s="12"/>
      <c r="G22" s="12"/>
      <c r="H22" s="12"/>
      <c r="I22" s="12"/>
    </row>
    <row r="23" spans="2:9" x14ac:dyDescent="0.2">
      <c r="B23" s="131" t="s">
        <v>7</v>
      </c>
      <c r="C23" s="132" t="s">
        <v>69</v>
      </c>
      <c r="D23" s="133" t="s">
        <v>15</v>
      </c>
      <c r="E23" s="12"/>
      <c r="I23" s="9"/>
    </row>
    <row r="24" spans="2:9" x14ac:dyDescent="0.2">
      <c r="B24" s="21" t="s">
        <v>5</v>
      </c>
      <c r="C24" s="21" t="s">
        <v>73</v>
      </c>
      <c r="D24" s="134">
        <v>25.12</v>
      </c>
      <c r="E24" s="12"/>
      <c r="I24" s="9"/>
    </row>
    <row r="25" spans="2:9" x14ac:dyDescent="0.2">
      <c r="B25" s="21" t="s">
        <v>6</v>
      </c>
      <c r="C25" s="21" t="s">
        <v>74</v>
      </c>
      <c r="D25" s="134">
        <v>9.4954999999999998E-2</v>
      </c>
      <c r="E25" s="12"/>
      <c r="I25" s="9"/>
    </row>
    <row r="26" spans="2:9" x14ac:dyDescent="0.2">
      <c r="B26" s="21" t="s">
        <v>9</v>
      </c>
      <c r="C26" s="21" t="s">
        <v>73</v>
      </c>
      <c r="D26" s="134">
        <v>42.87</v>
      </c>
      <c r="E26" s="12"/>
      <c r="I26" s="9"/>
    </row>
    <row r="27" spans="2:9" x14ac:dyDescent="0.2">
      <c r="B27" s="22" t="s">
        <v>8</v>
      </c>
      <c r="C27" s="21" t="s">
        <v>73</v>
      </c>
      <c r="D27" s="134">
        <v>40.5</v>
      </c>
      <c r="E27" s="12"/>
      <c r="I27" s="9"/>
    </row>
    <row r="28" spans="2:9" x14ac:dyDescent="0.2">
      <c r="B28" s="23" t="s">
        <v>77</v>
      </c>
      <c r="C28" s="23" t="s">
        <v>78</v>
      </c>
      <c r="D28" s="135">
        <v>3.6</v>
      </c>
      <c r="E28" s="12"/>
      <c r="I28" s="9"/>
    </row>
    <row r="29" spans="2:9" x14ac:dyDescent="0.2">
      <c r="B29" s="12"/>
      <c r="C29" s="12"/>
      <c r="D29" s="12"/>
      <c r="E29" s="12"/>
      <c r="F29" s="12"/>
      <c r="G29" s="12"/>
      <c r="H29" s="12"/>
      <c r="I29" s="12"/>
    </row>
    <row r="30" spans="2:9" x14ac:dyDescent="0.2">
      <c r="B30" s="12"/>
      <c r="C30" s="12"/>
      <c r="D30" s="12"/>
      <c r="E30" s="12"/>
      <c r="F30" s="12"/>
      <c r="G30" s="12"/>
      <c r="H30" s="12"/>
      <c r="I30" s="12"/>
    </row>
    <row r="31" spans="2:9" x14ac:dyDescent="0.2">
      <c r="B31" s="93" t="s">
        <v>102</v>
      </c>
      <c r="C31" s="12"/>
      <c r="D31" s="12"/>
      <c r="E31" s="12"/>
      <c r="F31" s="12"/>
      <c r="G31" s="12"/>
      <c r="H31" s="12"/>
      <c r="I31" s="12"/>
    </row>
    <row r="32" spans="2:9" x14ac:dyDescent="0.2">
      <c r="B32" s="12"/>
      <c r="C32" s="12"/>
      <c r="D32" s="12"/>
      <c r="E32" s="12"/>
      <c r="F32" s="12"/>
      <c r="G32" s="12"/>
      <c r="H32" s="12"/>
      <c r="I32" s="12"/>
    </row>
    <row r="33" spans="2:9" x14ac:dyDescent="0.2">
      <c r="B33" s="131" t="s">
        <v>70</v>
      </c>
      <c r="C33" s="132" t="s">
        <v>71</v>
      </c>
      <c r="D33" s="133" t="s">
        <v>72</v>
      </c>
      <c r="E33" s="12"/>
      <c r="F33" s="12"/>
      <c r="G33" s="12"/>
      <c r="H33" s="12"/>
      <c r="I33" s="12"/>
    </row>
    <row r="34" spans="2:9" x14ac:dyDescent="0.2">
      <c r="B34" s="134" t="s">
        <v>53</v>
      </c>
      <c r="C34" s="134" t="s">
        <v>5</v>
      </c>
      <c r="D34" s="134" t="s">
        <v>5</v>
      </c>
      <c r="E34" s="12"/>
      <c r="F34" s="12"/>
      <c r="G34" s="12"/>
      <c r="H34" s="12"/>
      <c r="I34" s="12"/>
    </row>
    <row r="35" spans="2:9" x14ac:dyDescent="0.2">
      <c r="B35" s="134" t="s">
        <v>123</v>
      </c>
      <c r="C35" s="134" t="s">
        <v>6</v>
      </c>
      <c r="D35" s="134" t="s">
        <v>6</v>
      </c>
      <c r="E35" s="12"/>
      <c r="F35" s="12"/>
      <c r="G35" s="12"/>
      <c r="H35" s="12"/>
      <c r="I35" s="12"/>
    </row>
    <row r="36" spans="2:9" x14ac:dyDescent="0.2">
      <c r="B36" s="134" t="s">
        <v>60</v>
      </c>
      <c r="C36" s="134" t="s">
        <v>9</v>
      </c>
      <c r="D36" s="134" t="s">
        <v>75</v>
      </c>
      <c r="E36" s="12"/>
      <c r="F36" s="12"/>
      <c r="G36" s="12"/>
      <c r="H36" s="12"/>
      <c r="I36" s="12"/>
    </row>
    <row r="37" spans="2:9" x14ac:dyDescent="0.2">
      <c r="B37" s="136"/>
      <c r="C37" s="134" t="s">
        <v>8</v>
      </c>
      <c r="D37" s="134" t="s">
        <v>76</v>
      </c>
      <c r="E37" s="12"/>
      <c r="F37" s="12"/>
      <c r="G37" s="12"/>
      <c r="H37" s="12"/>
      <c r="I37" s="12"/>
    </row>
    <row r="38" spans="2:9" x14ac:dyDescent="0.2">
      <c r="B38" s="135"/>
      <c r="C38" s="135"/>
      <c r="D38" s="135"/>
      <c r="E38" s="12"/>
      <c r="F38" s="12"/>
      <c r="G38" s="12"/>
      <c r="H38" s="12"/>
      <c r="I38" s="12"/>
    </row>
    <row r="39" spans="2:9" x14ac:dyDescent="0.2">
      <c r="B39" s="12"/>
      <c r="C39" s="12"/>
      <c r="D39" s="12"/>
      <c r="E39" s="12"/>
      <c r="F39" s="12"/>
      <c r="G39" s="12"/>
      <c r="H39" s="12"/>
      <c r="I39" s="12"/>
    </row>
    <row r="40" spans="2:9" x14ac:dyDescent="0.2">
      <c r="G40" s="12"/>
      <c r="H40" s="12"/>
      <c r="I40" s="12"/>
    </row>
    <row r="41" spans="2:9" x14ac:dyDescent="0.2">
      <c r="B41" s="93" t="s">
        <v>103</v>
      </c>
      <c r="C41" s="12"/>
      <c r="D41" s="12"/>
      <c r="E41" s="12"/>
      <c r="F41" s="12"/>
      <c r="G41" s="12"/>
      <c r="H41" s="12"/>
      <c r="I41" s="12"/>
    </row>
    <row r="42" spans="2:9" x14ac:dyDescent="0.2">
      <c r="B42" s="12"/>
      <c r="C42" s="12"/>
      <c r="D42" s="12"/>
      <c r="E42" s="12"/>
      <c r="F42" s="12"/>
      <c r="G42" s="9"/>
      <c r="H42" s="12"/>
      <c r="I42" s="12"/>
    </row>
    <row r="43" spans="2:9" x14ac:dyDescent="0.2">
      <c r="B43" s="131"/>
      <c r="C43" s="132" t="s">
        <v>5</v>
      </c>
      <c r="D43" s="133" t="s">
        <v>6</v>
      </c>
      <c r="E43" s="131" t="s">
        <v>9</v>
      </c>
      <c r="F43" s="132" t="s">
        <v>8</v>
      </c>
      <c r="G43" s="9"/>
      <c r="H43" s="12"/>
      <c r="I43" s="12"/>
    </row>
    <row r="44" spans="2:9" x14ac:dyDescent="0.2">
      <c r="B44" s="137" t="s">
        <v>79</v>
      </c>
      <c r="C44" s="138">
        <v>9.4600000000000004E-2</v>
      </c>
      <c r="D44" s="138">
        <v>5.6099999999999997E-2</v>
      </c>
      <c r="E44" s="138">
        <v>7.4099999999999999E-2</v>
      </c>
      <c r="F44" s="138">
        <v>7.7399999999999997E-2</v>
      </c>
      <c r="G44" s="9"/>
      <c r="H44" s="12"/>
      <c r="I44" s="12"/>
    </row>
    <row r="45" spans="2:9" x14ac:dyDescent="0.2">
      <c r="B45" s="137" t="s">
        <v>80</v>
      </c>
      <c r="C45" s="138">
        <v>0.99</v>
      </c>
      <c r="D45" s="138">
        <v>0.995</v>
      </c>
      <c r="E45" s="138">
        <v>0.995</v>
      </c>
      <c r="F45" s="138">
        <v>0.995</v>
      </c>
      <c r="G45" s="9"/>
      <c r="H45" s="12"/>
      <c r="I45" s="12"/>
    </row>
    <row r="46" spans="2:9" x14ac:dyDescent="0.2">
      <c r="B46" s="139" t="s">
        <v>81</v>
      </c>
      <c r="C46" s="140">
        <f>C44*C45</f>
        <v>9.3654000000000001E-2</v>
      </c>
      <c r="D46" s="140">
        <f>D44*D45</f>
        <v>5.5819499999999994E-2</v>
      </c>
      <c r="E46" s="140">
        <f>E44*E45</f>
        <v>7.3729500000000003E-2</v>
      </c>
      <c r="F46" s="140">
        <f>F44*F45</f>
        <v>7.7012999999999998E-2</v>
      </c>
      <c r="G46" s="12"/>
      <c r="H46" s="12"/>
      <c r="I46" s="12"/>
    </row>
    <row r="47" spans="2:9" x14ac:dyDescent="0.2">
      <c r="B47" s="12"/>
      <c r="C47" s="12"/>
      <c r="D47" s="12"/>
      <c r="E47" s="12"/>
      <c r="F47" s="12"/>
      <c r="G47" s="12"/>
      <c r="H47" s="12"/>
      <c r="I47" s="12"/>
    </row>
    <row r="48" spans="2:9" x14ac:dyDescent="0.2">
      <c r="B48" s="12"/>
      <c r="C48" s="12"/>
      <c r="D48" s="12"/>
      <c r="E48" s="12"/>
      <c r="F48" s="12"/>
      <c r="G48" s="12"/>
      <c r="H48" s="12"/>
      <c r="I48" s="12"/>
    </row>
    <row r="49" spans="2:9" x14ac:dyDescent="0.2">
      <c r="B49" s="93" t="s">
        <v>106</v>
      </c>
      <c r="C49" s="12"/>
      <c r="D49" s="12"/>
      <c r="E49" s="12"/>
      <c r="F49" s="12"/>
      <c r="G49" s="9"/>
      <c r="H49" s="9"/>
      <c r="I49" s="9"/>
    </row>
    <row r="50" spans="2:9" x14ac:dyDescent="0.2">
      <c r="E50" s="9"/>
      <c r="F50" s="9"/>
      <c r="G50" s="9"/>
      <c r="H50" s="9"/>
      <c r="I50" s="9"/>
    </row>
    <row r="51" spans="2:9" x14ac:dyDescent="0.2">
      <c r="B51" s="141" t="s">
        <v>83</v>
      </c>
      <c r="C51" s="2"/>
      <c r="D51" s="142">
        <v>0.4</v>
      </c>
      <c r="E51" s="9"/>
      <c r="F51" s="9"/>
      <c r="G51" s="9"/>
      <c r="H51" s="9"/>
      <c r="I51" s="9"/>
    </row>
    <row r="52" spans="2:9" x14ac:dyDescent="0.2">
      <c r="B52" s="9"/>
      <c r="C52" s="9"/>
      <c r="D52" s="9"/>
      <c r="E52" s="9"/>
      <c r="F52" s="9"/>
      <c r="G52" s="9"/>
      <c r="H52" s="9"/>
      <c r="I52" s="9"/>
    </row>
    <row r="53" spans="2:9" x14ac:dyDescent="0.2">
      <c r="B53" s="9"/>
      <c r="C53" s="9"/>
      <c r="D53" s="9"/>
      <c r="E53" s="9"/>
      <c r="F53" s="9"/>
      <c r="G53" s="9"/>
      <c r="H53" s="9"/>
      <c r="I53" s="9"/>
    </row>
    <row r="54" spans="2:9" x14ac:dyDescent="0.2">
      <c r="B54" s="9"/>
      <c r="C54" s="9"/>
      <c r="D54" s="9"/>
      <c r="E54" s="9"/>
      <c r="F54" s="9"/>
      <c r="G54" s="9"/>
      <c r="H54" s="9"/>
      <c r="I54" s="9"/>
    </row>
    <row r="55" spans="2:9" x14ac:dyDescent="0.2">
      <c r="B55" s="9"/>
      <c r="C55" s="9"/>
      <c r="D55" s="9"/>
      <c r="E55" s="9"/>
      <c r="F55" s="9"/>
      <c r="G55" s="9"/>
      <c r="H55" s="9"/>
      <c r="I55" s="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ksCalculation2">
    <tabColor theme="1"/>
  </sheetPr>
  <dimension ref="A1:Z59"/>
  <sheetViews>
    <sheetView zoomScale="80" zoomScaleNormal="80" workbookViewId="0"/>
  </sheetViews>
  <sheetFormatPr defaultRowHeight="12.75" x14ac:dyDescent="0.2"/>
  <cols>
    <col min="1" max="2" width="9" style="50" customWidth="1"/>
    <col min="3" max="3" width="22.28515625" style="50" customWidth="1"/>
    <col min="4" max="4" width="9" style="50" customWidth="1"/>
    <col min="5" max="5" width="10.5703125" style="50" customWidth="1"/>
    <col min="6" max="6" width="12" style="50" customWidth="1"/>
    <col min="7" max="10" width="12" style="14" customWidth="1"/>
    <col min="11" max="11" width="19.140625" style="14" bestFit="1" customWidth="1"/>
    <col min="12" max="14" width="13" style="14" customWidth="1"/>
    <col min="15" max="15" width="14.42578125" style="14" customWidth="1"/>
    <col min="16" max="16" width="9.85546875" style="14" bestFit="1" customWidth="1"/>
    <col min="17" max="17" width="16.42578125" style="14" bestFit="1" customWidth="1"/>
    <col min="18" max="18" width="15.140625" style="14" bestFit="1" customWidth="1"/>
    <col min="19" max="19" width="12.5703125" style="14" customWidth="1"/>
    <col min="20" max="25" width="12.7109375" style="14" customWidth="1"/>
    <col min="26" max="16384" width="9.140625" style="14"/>
  </cols>
  <sheetData>
    <row r="1" spans="3:26" s="50" customFormat="1" x14ac:dyDescent="0.2"/>
    <row r="2" spans="3:26" s="50" customFormat="1" x14ac:dyDescent="0.2"/>
    <row r="3" spans="3:26" s="50" customFormat="1" x14ac:dyDescent="0.2">
      <c r="C3" s="127" t="s">
        <v>33</v>
      </c>
    </row>
    <row r="4" spans="3:26" s="50" customFormat="1" x14ac:dyDescent="0.2"/>
    <row r="5" spans="3:26" s="50" customFormat="1" x14ac:dyDescent="0.2">
      <c r="C5" s="15" t="s">
        <v>36</v>
      </c>
      <c r="D5" s="87">
        <v>1.1657</v>
      </c>
    </row>
    <row r="6" spans="3:26" s="50" customFormat="1" x14ac:dyDescent="0.2">
      <c r="C6" s="19" t="s">
        <v>37</v>
      </c>
      <c r="D6" s="42">
        <v>0.88922999999999996</v>
      </c>
    </row>
    <row r="7" spans="3:26" s="50" customFormat="1" x14ac:dyDescent="0.2">
      <c r="C7" s="16" t="s">
        <v>98</v>
      </c>
      <c r="D7" s="43">
        <v>1</v>
      </c>
    </row>
    <row r="8" spans="3:26" s="50" customFormat="1" x14ac:dyDescent="0.2"/>
    <row r="9" spans="3:26" s="50" customFormat="1" x14ac:dyDescent="0.2"/>
    <row r="10" spans="3:26" s="50" customFormat="1" x14ac:dyDescent="0.2"/>
    <row r="11" spans="3:26" s="50" customFormat="1" x14ac:dyDescent="0.2">
      <c r="C11" s="10" t="s">
        <v>32</v>
      </c>
      <c r="D11" s="9"/>
      <c r="E11" s="11"/>
      <c r="F11" s="9"/>
      <c r="G11" s="9"/>
      <c r="H11" s="9"/>
      <c r="I11" s="9"/>
      <c r="L11" s="14" t="s">
        <v>82</v>
      </c>
      <c r="M11" s="14"/>
      <c r="N11" s="12"/>
      <c r="O11" s="12"/>
      <c r="P11" s="12"/>
    </row>
    <row r="12" spans="3:26" s="50" customFormat="1" x14ac:dyDescent="0.2">
      <c r="C12" s="9"/>
      <c r="D12" s="9"/>
      <c r="E12" s="9"/>
      <c r="F12" s="9"/>
      <c r="G12" s="9"/>
      <c r="H12" s="9"/>
      <c r="I12" s="9"/>
      <c r="K12" s="13"/>
      <c r="L12" s="12"/>
      <c r="M12" s="12"/>
      <c r="N12" s="12"/>
      <c r="O12" s="12"/>
      <c r="P12" s="12"/>
      <c r="R12" s="1"/>
      <c r="S12" s="1"/>
      <c r="T12" s="1"/>
      <c r="U12" s="1"/>
      <c r="V12" s="1"/>
      <c r="W12" s="1"/>
      <c r="X12" s="1"/>
      <c r="Y12" s="1"/>
      <c r="Z12" s="1"/>
    </row>
    <row r="13" spans="3:26" s="50" customFormat="1" ht="27.75" customHeight="1" x14ac:dyDescent="0.2">
      <c r="C13" s="119" t="s">
        <v>11</v>
      </c>
      <c r="D13" s="120" t="s">
        <v>13</v>
      </c>
      <c r="E13" s="121" t="s">
        <v>96</v>
      </c>
      <c r="F13" s="122" t="s">
        <v>27</v>
      </c>
      <c r="G13" s="122" t="s">
        <v>28</v>
      </c>
      <c r="H13" s="122" t="s">
        <v>29</v>
      </c>
      <c r="I13" s="122" t="s">
        <v>30</v>
      </c>
      <c r="J13" s="123" t="s">
        <v>31</v>
      </c>
      <c r="L13" s="119" t="s">
        <v>96</v>
      </c>
      <c r="M13" s="120" t="s">
        <v>5</v>
      </c>
      <c r="N13" s="120" t="s">
        <v>6</v>
      </c>
      <c r="O13" s="120" t="s">
        <v>9</v>
      </c>
      <c r="P13" s="120" t="s">
        <v>8</v>
      </c>
      <c r="R13" s="1"/>
      <c r="S13" s="1"/>
      <c r="T13" s="1"/>
      <c r="U13" s="1"/>
      <c r="V13" s="1"/>
      <c r="W13" s="1"/>
      <c r="X13" s="1"/>
      <c r="Y13" s="1"/>
      <c r="Z13" s="1"/>
    </row>
    <row r="14" spans="3:26" s="50" customFormat="1" x14ac:dyDescent="0.2">
      <c r="C14" s="152">
        <v>2018</v>
      </c>
      <c r="D14" s="153" t="s">
        <v>1</v>
      </c>
      <c r="E14" s="154" t="str">
        <f>C14&amp;D14</f>
        <v>2018Q1</v>
      </c>
      <c r="F14" s="153">
        <v>90</v>
      </c>
      <c r="G14" s="153">
        <v>50</v>
      </c>
      <c r="H14" s="153">
        <v>550</v>
      </c>
      <c r="I14" s="153">
        <v>300</v>
      </c>
      <c r="J14" s="155">
        <v>8</v>
      </c>
      <c r="L14" s="18" t="str">
        <f t="shared" ref="L14:L21" si="0">E14</f>
        <v>2018Q1</v>
      </c>
      <c r="M14" s="69">
        <f t="shared" ref="M14:M21" si="1">F14/coalCV/$D$5</f>
        <v>3.0735202434337312</v>
      </c>
      <c r="N14" s="70">
        <f t="shared" ref="N14:N21" si="2">G14/thtoGJ/$D$6/100</f>
        <v>5.9215862611685441</v>
      </c>
      <c r="O14" s="71">
        <f t="shared" ref="O14:O21" si="3">H14/GasoilCV/$D$5</f>
        <v>11.005820097784111</v>
      </c>
      <c r="P14" s="72">
        <f t="shared" ref="P14:P21" si="4">I14/LSFOCV/$D$5</f>
        <v>6.3544714827206032</v>
      </c>
      <c r="U14" s="3" t="str">
        <f>IFERROR(MATCH(V14&amp;"_"&amp;W14,'Fixed inputs'!#REF!,0),"")</f>
        <v/>
      </c>
      <c r="V14" s="3" t="str">
        <f>IFERROR(MATCH(W14&amp;"_"&amp;X14,'Fixed inputs'!#REF!,0),"")</f>
        <v/>
      </c>
      <c r="W14" s="3" t="str">
        <f>IFERROR(MATCH(X14&amp;"_"&amp;Y14,'Fixed inputs'!#REF!,0),"")</f>
        <v/>
      </c>
      <c r="X14" s="3" t="str">
        <f>IFERROR(MATCH(Y14&amp;"_"&amp;Z14,'Fixed inputs'!#REF!,0),"")</f>
        <v/>
      </c>
      <c r="Y14" s="3" t="str">
        <f>IFERROR(MATCH(Z14&amp;"_"&amp;AA14,'Fixed inputs'!#REF!,0),"")</f>
        <v/>
      </c>
      <c r="Z14" s="3" t="str">
        <f>IFERROR(MATCH(AA14&amp;"_"&amp;AB14,'Fixed inputs'!#REF!,0),"")</f>
        <v/>
      </c>
    </row>
    <row r="15" spans="3:26" s="50" customFormat="1" x14ac:dyDescent="0.2">
      <c r="C15" s="94">
        <v>2018</v>
      </c>
      <c r="D15" s="84" t="s">
        <v>2</v>
      </c>
      <c r="E15" s="91" t="str">
        <f t="shared" ref="E15:E21" si="5">C15&amp;D15</f>
        <v>2018Q2</v>
      </c>
      <c r="F15" s="84">
        <v>90</v>
      </c>
      <c r="G15" s="84">
        <v>43</v>
      </c>
      <c r="H15" s="84">
        <v>550</v>
      </c>
      <c r="I15" s="84">
        <v>300</v>
      </c>
      <c r="J15" s="85">
        <v>8</v>
      </c>
      <c r="L15" s="51" t="str">
        <f t="shared" si="0"/>
        <v>2018Q2</v>
      </c>
      <c r="M15" s="58">
        <f t="shared" si="1"/>
        <v>3.0735202434337312</v>
      </c>
      <c r="N15" s="52">
        <f t="shared" si="2"/>
        <v>5.0925641846049476</v>
      </c>
      <c r="O15" s="53">
        <f t="shared" si="3"/>
        <v>11.005820097784111</v>
      </c>
      <c r="P15" s="54">
        <f t="shared" si="4"/>
        <v>6.3544714827206032</v>
      </c>
      <c r="U15" s="3" t="str">
        <f>IFERROR(MATCH(V15&amp;"_"&amp;W15,'Fixed inputs'!#REF!,0),"")</f>
        <v/>
      </c>
      <c r="V15" s="3" t="str">
        <f>IFERROR(MATCH(W15&amp;"_"&amp;X15,'Fixed inputs'!#REF!,0),"")</f>
        <v/>
      </c>
      <c r="W15" s="3" t="str">
        <f>IFERROR(MATCH(X15&amp;"_"&amp;Y15,'Fixed inputs'!#REF!,0),"")</f>
        <v/>
      </c>
      <c r="X15" s="3" t="str">
        <f>IFERROR(MATCH(Y15&amp;"_"&amp;Z15,'Fixed inputs'!#REF!,0),"")</f>
        <v/>
      </c>
      <c r="Y15" s="3" t="str">
        <f>IFERROR(MATCH(Z15&amp;"_"&amp;AA15,'Fixed inputs'!#REF!,0),"")</f>
        <v/>
      </c>
      <c r="Z15" s="3" t="str">
        <f>IFERROR(MATCH(AA15&amp;"_"&amp;AB15,'Fixed inputs'!#REF!,0),"")</f>
        <v/>
      </c>
    </row>
    <row r="16" spans="3:26" s="50" customFormat="1" x14ac:dyDescent="0.2">
      <c r="C16" s="94">
        <v>2018</v>
      </c>
      <c r="D16" s="84" t="s">
        <v>3</v>
      </c>
      <c r="E16" s="91" t="str">
        <f t="shared" si="5"/>
        <v>2018Q3</v>
      </c>
      <c r="F16" s="84">
        <v>90</v>
      </c>
      <c r="G16" s="84">
        <v>43</v>
      </c>
      <c r="H16" s="84">
        <v>550</v>
      </c>
      <c r="I16" s="84">
        <v>300</v>
      </c>
      <c r="J16" s="85">
        <v>8</v>
      </c>
      <c r="L16" s="51" t="str">
        <f t="shared" si="0"/>
        <v>2018Q3</v>
      </c>
      <c r="M16" s="58">
        <f t="shared" si="1"/>
        <v>3.0735202434337312</v>
      </c>
      <c r="N16" s="52">
        <f t="shared" si="2"/>
        <v>5.0925641846049476</v>
      </c>
      <c r="O16" s="53">
        <f t="shared" si="3"/>
        <v>11.005820097784111</v>
      </c>
      <c r="P16" s="54">
        <f t="shared" si="4"/>
        <v>6.3544714827206032</v>
      </c>
      <c r="U16" s="3" t="str">
        <f>IFERROR(MATCH(V16&amp;"_"&amp;W16,'Fixed inputs'!#REF!,0),"")</f>
        <v/>
      </c>
      <c r="V16" s="3" t="str">
        <f>IFERROR(MATCH(W16&amp;"_"&amp;X16,'Fixed inputs'!#REF!,0),"")</f>
        <v/>
      </c>
      <c r="W16" s="3" t="str">
        <f>IFERROR(MATCH(X16&amp;"_"&amp;Y16,'Fixed inputs'!#REF!,0),"")</f>
        <v/>
      </c>
      <c r="X16" s="3" t="str">
        <f>IFERROR(MATCH(Y16&amp;"_"&amp;Z16,'Fixed inputs'!#REF!,0),"")</f>
        <v/>
      </c>
      <c r="Y16" s="3" t="str">
        <f>IFERROR(MATCH(Z16&amp;"_"&amp;AA16,'Fixed inputs'!#REF!,0),"")</f>
        <v/>
      </c>
      <c r="Z16" s="3" t="str">
        <f>IFERROR(MATCH(AA16&amp;"_"&amp;AB16,'Fixed inputs'!#REF!,0),"")</f>
        <v/>
      </c>
    </row>
    <row r="17" spans="3:26" s="50" customFormat="1" x14ac:dyDescent="0.2">
      <c r="C17" s="94">
        <v>2018</v>
      </c>
      <c r="D17" s="84" t="s">
        <v>4</v>
      </c>
      <c r="E17" s="91" t="str">
        <f t="shared" si="5"/>
        <v>2018Q4</v>
      </c>
      <c r="F17" s="84">
        <v>90</v>
      </c>
      <c r="G17" s="84">
        <v>50</v>
      </c>
      <c r="H17" s="84">
        <v>550</v>
      </c>
      <c r="I17" s="84">
        <v>300</v>
      </c>
      <c r="J17" s="85">
        <v>8</v>
      </c>
      <c r="L17" s="51" t="str">
        <f t="shared" si="0"/>
        <v>2018Q4</v>
      </c>
      <c r="M17" s="58">
        <f t="shared" si="1"/>
        <v>3.0735202434337312</v>
      </c>
      <c r="N17" s="52">
        <f t="shared" si="2"/>
        <v>5.9215862611685441</v>
      </c>
      <c r="O17" s="53">
        <f t="shared" si="3"/>
        <v>11.005820097784111</v>
      </c>
      <c r="P17" s="54">
        <f t="shared" si="4"/>
        <v>6.3544714827206032</v>
      </c>
      <c r="U17" s="3" t="str">
        <f>IFERROR(MATCH(V17&amp;"_"&amp;W17,'Fixed inputs'!#REF!,0),"")</f>
        <v/>
      </c>
      <c r="V17" s="3" t="str">
        <f>IFERROR(MATCH(W17&amp;"_"&amp;X17,'Fixed inputs'!#REF!,0),"")</f>
        <v/>
      </c>
      <c r="W17" s="3" t="str">
        <f>IFERROR(MATCH(X17&amp;"_"&amp;Y17,'Fixed inputs'!#REF!,0),"")</f>
        <v/>
      </c>
      <c r="X17" s="3" t="str">
        <f>IFERROR(MATCH(Y17&amp;"_"&amp;Z17,'Fixed inputs'!#REF!,0),"")</f>
        <v/>
      </c>
      <c r="Y17" s="3" t="str">
        <f>IFERROR(MATCH(Z17&amp;"_"&amp;AA17,'Fixed inputs'!#REF!,0),"")</f>
        <v/>
      </c>
      <c r="Z17" s="3" t="str">
        <f>IFERROR(MATCH(AA17&amp;"_"&amp;AB17,'Fixed inputs'!#REF!,0),"")</f>
        <v/>
      </c>
    </row>
    <row r="18" spans="3:26" s="50" customFormat="1" x14ac:dyDescent="0.2">
      <c r="C18" s="94">
        <v>2019</v>
      </c>
      <c r="D18" s="84" t="s">
        <v>1</v>
      </c>
      <c r="E18" s="91" t="str">
        <f t="shared" si="5"/>
        <v>2019Q1</v>
      </c>
      <c r="F18" s="84">
        <v>90</v>
      </c>
      <c r="G18" s="84">
        <v>50</v>
      </c>
      <c r="H18" s="84">
        <v>550</v>
      </c>
      <c r="I18" s="84">
        <v>300</v>
      </c>
      <c r="J18" s="85">
        <v>8</v>
      </c>
      <c r="L18" s="51" t="str">
        <f t="shared" si="0"/>
        <v>2019Q1</v>
      </c>
      <c r="M18" s="58">
        <f t="shared" si="1"/>
        <v>3.0735202434337312</v>
      </c>
      <c r="N18" s="52">
        <f t="shared" si="2"/>
        <v>5.9215862611685441</v>
      </c>
      <c r="O18" s="53">
        <f t="shared" si="3"/>
        <v>11.005820097784111</v>
      </c>
      <c r="P18" s="54">
        <f t="shared" si="4"/>
        <v>6.3544714827206032</v>
      </c>
      <c r="U18" s="3" t="str">
        <f>IFERROR(MATCH(V18&amp;"_"&amp;W18,'Fixed inputs'!#REF!,0),"")</f>
        <v/>
      </c>
      <c r="V18" s="3" t="str">
        <f>IFERROR(MATCH(W18&amp;"_"&amp;X18,'Fixed inputs'!#REF!,0),"")</f>
        <v/>
      </c>
      <c r="W18" s="3" t="str">
        <f>IFERROR(MATCH(X18&amp;"_"&amp;Y18,'Fixed inputs'!#REF!,0),"")</f>
        <v/>
      </c>
      <c r="X18" s="3" t="str">
        <f>IFERROR(MATCH(Y18&amp;"_"&amp;Z18,'Fixed inputs'!#REF!,0),"")</f>
        <v/>
      </c>
      <c r="Y18" s="3" t="str">
        <f>IFERROR(MATCH(Z18&amp;"_"&amp;AA18,'Fixed inputs'!#REF!,0),"")</f>
        <v/>
      </c>
      <c r="Z18" s="3" t="str">
        <f>IFERROR(MATCH(AA18&amp;"_"&amp;AB18,'Fixed inputs'!#REF!,0),"")</f>
        <v/>
      </c>
    </row>
    <row r="19" spans="3:26" s="50" customFormat="1" x14ac:dyDescent="0.2">
      <c r="C19" s="94">
        <v>2019</v>
      </c>
      <c r="D19" s="84" t="s">
        <v>2</v>
      </c>
      <c r="E19" s="91" t="str">
        <f t="shared" si="5"/>
        <v>2019Q2</v>
      </c>
      <c r="F19" s="84">
        <v>90</v>
      </c>
      <c r="G19" s="84">
        <v>43</v>
      </c>
      <c r="H19" s="84">
        <v>550</v>
      </c>
      <c r="I19" s="84">
        <v>300</v>
      </c>
      <c r="J19" s="85">
        <v>8</v>
      </c>
      <c r="L19" s="51" t="str">
        <f t="shared" si="0"/>
        <v>2019Q2</v>
      </c>
      <c r="M19" s="58">
        <f t="shared" si="1"/>
        <v>3.0735202434337312</v>
      </c>
      <c r="N19" s="52">
        <f t="shared" si="2"/>
        <v>5.0925641846049476</v>
      </c>
      <c r="O19" s="53">
        <f t="shared" si="3"/>
        <v>11.005820097784111</v>
      </c>
      <c r="P19" s="54">
        <f t="shared" si="4"/>
        <v>6.3544714827206032</v>
      </c>
      <c r="U19" s="3" t="str">
        <f>IFERROR(MATCH(V19&amp;"_"&amp;W19,'Fixed inputs'!#REF!,0),"")</f>
        <v/>
      </c>
      <c r="V19" s="3" t="str">
        <f>IFERROR(MATCH(W19&amp;"_"&amp;X19,'Fixed inputs'!#REF!,0),"")</f>
        <v/>
      </c>
      <c r="W19" s="3" t="str">
        <f>IFERROR(MATCH(X19&amp;"_"&amp;Y19,'Fixed inputs'!#REF!,0),"")</f>
        <v/>
      </c>
      <c r="X19" s="3" t="str">
        <f>IFERROR(MATCH(Y19&amp;"_"&amp;Z19,'Fixed inputs'!#REF!,0),"")</f>
        <v/>
      </c>
      <c r="Y19" s="3" t="str">
        <f>IFERROR(MATCH(Z19&amp;"_"&amp;AA19,'Fixed inputs'!#REF!,0),"")</f>
        <v/>
      </c>
      <c r="Z19" s="3" t="str">
        <f>IFERROR(MATCH(AA19&amp;"_"&amp;AB19,'Fixed inputs'!#REF!,0),"")</f>
        <v/>
      </c>
    </row>
    <row r="20" spans="3:26" s="50" customFormat="1" x14ac:dyDescent="0.2">
      <c r="C20" s="94">
        <v>2019</v>
      </c>
      <c r="D20" s="84" t="s">
        <v>3</v>
      </c>
      <c r="E20" s="91" t="str">
        <f t="shared" si="5"/>
        <v>2019Q3</v>
      </c>
      <c r="F20" s="84">
        <v>90</v>
      </c>
      <c r="G20" s="84">
        <v>43</v>
      </c>
      <c r="H20" s="84">
        <v>550</v>
      </c>
      <c r="I20" s="84">
        <v>300</v>
      </c>
      <c r="J20" s="85">
        <v>8</v>
      </c>
      <c r="L20" s="51" t="str">
        <f t="shared" si="0"/>
        <v>2019Q3</v>
      </c>
      <c r="M20" s="58">
        <f t="shared" si="1"/>
        <v>3.0735202434337312</v>
      </c>
      <c r="N20" s="52">
        <f t="shared" si="2"/>
        <v>5.0925641846049476</v>
      </c>
      <c r="O20" s="53">
        <f t="shared" si="3"/>
        <v>11.005820097784111</v>
      </c>
      <c r="P20" s="54">
        <f t="shared" si="4"/>
        <v>6.3544714827206032</v>
      </c>
      <c r="U20" s="3" t="str">
        <f>IFERROR(MATCH(V20&amp;"_"&amp;W20,'Fixed inputs'!#REF!,0),"")</f>
        <v/>
      </c>
      <c r="V20" s="3" t="str">
        <f>IFERROR(MATCH(W20&amp;"_"&amp;X20,'Fixed inputs'!#REF!,0),"")</f>
        <v/>
      </c>
      <c r="W20" s="3" t="str">
        <f>IFERROR(MATCH(X20&amp;"_"&amp;Y20,'Fixed inputs'!#REF!,0),"")</f>
        <v/>
      </c>
      <c r="X20" s="3" t="str">
        <f>IFERROR(MATCH(Y20&amp;"_"&amp;Z20,'Fixed inputs'!#REF!,0),"")</f>
        <v/>
      </c>
      <c r="Y20" s="3" t="str">
        <f>IFERROR(MATCH(Z20&amp;"_"&amp;AA20,'Fixed inputs'!#REF!,0),"")</f>
        <v/>
      </c>
      <c r="Z20" s="3" t="str">
        <f>IFERROR(MATCH(AA20&amp;"_"&amp;AB20,'Fixed inputs'!#REF!,0),"")</f>
        <v/>
      </c>
    </row>
    <row r="21" spans="3:26" s="50" customFormat="1" x14ac:dyDescent="0.2">
      <c r="C21" s="95">
        <v>2019</v>
      </c>
      <c r="D21" s="86" t="s">
        <v>4</v>
      </c>
      <c r="E21" s="92" t="str">
        <f t="shared" si="5"/>
        <v>2019Q4</v>
      </c>
      <c r="F21" s="86">
        <v>90</v>
      </c>
      <c r="G21" s="86">
        <v>50</v>
      </c>
      <c r="H21" s="86">
        <v>550</v>
      </c>
      <c r="I21" s="86">
        <v>300</v>
      </c>
      <c r="J21" s="156">
        <v>8</v>
      </c>
      <c r="L21" s="17" t="str">
        <f t="shared" si="0"/>
        <v>2019Q4</v>
      </c>
      <c r="M21" s="60">
        <f t="shared" si="1"/>
        <v>3.0735202434337312</v>
      </c>
      <c r="N21" s="55">
        <f t="shared" si="2"/>
        <v>5.9215862611685441</v>
      </c>
      <c r="O21" s="56">
        <f t="shared" si="3"/>
        <v>11.005820097784111</v>
      </c>
      <c r="P21" s="57">
        <f t="shared" si="4"/>
        <v>6.3544714827206032</v>
      </c>
      <c r="U21" s="3" t="str">
        <f>IFERROR(MATCH(V21&amp;"_"&amp;W21,'Fixed inputs'!#REF!,0),"")</f>
        <v/>
      </c>
      <c r="V21" s="3" t="str">
        <f>IFERROR(MATCH(W21&amp;"_"&amp;X21,'Fixed inputs'!#REF!,0),"")</f>
        <v/>
      </c>
      <c r="W21" s="3" t="str">
        <f>IFERROR(MATCH(X21&amp;"_"&amp;Y21,'Fixed inputs'!#REF!,0),"")</f>
        <v/>
      </c>
      <c r="X21" s="3" t="str">
        <f>IFERROR(MATCH(Y21&amp;"_"&amp;Z21,'Fixed inputs'!#REF!,0),"")</f>
        <v/>
      </c>
      <c r="Y21" s="3" t="str">
        <f>IFERROR(MATCH(Z21&amp;"_"&amp;AA21,'Fixed inputs'!#REF!,0),"")</f>
        <v/>
      </c>
      <c r="Z21" s="3" t="str">
        <f>IFERROR(MATCH(AA21&amp;"_"&amp;AB21,'Fixed inputs'!#REF!,0),"")</f>
        <v/>
      </c>
    </row>
    <row r="22" spans="3:26" s="50" customFormat="1" x14ac:dyDescent="0.2"/>
    <row r="24" spans="3:26" x14ac:dyDescent="0.2">
      <c r="C24" s="93" t="s">
        <v>97</v>
      </c>
      <c r="D24" s="9"/>
      <c r="E24" s="14"/>
      <c r="F24" s="14"/>
    </row>
    <row r="25" spans="3:26" ht="17.25" customHeight="1" x14ac:dyDescent="0.2">
      <c r="C25" s="14"/>
      <c r="D25" s="14"/>
      <c r="E25" s="14"/>
      <c r="F25" s="14"/>
      <c r="L25" s="14" t="s">
        <v>84</v>
      </c>
    </row>
    <row r="26" spans="3:26" x14ac:dyDescent="0.2">
      <c r="C26" s="124" t="s">
        <v>35</v>
      </c>
      <c r="D26" s="125" t="s">
        <v>89</v>
      </c>
      <c r="E26" s="126" t="s">
        <v>90</v>
      </c>
      <c r="F26" s="126" t="s">
        <v>115</v>
      </c>
      <c r="G26" s="126" t="s">
        <v>118</v>
      </c>
      <c r="H26" s="126" t="s">
        <v>119</v>
      </c>
      <c r="R26" s="1"/>
      <c r="S26" s="1"/>
      <c r="T26" s="1"/>
      <c r="U26" s="1"/>
      <c r="V26" s="1"/>
      <c r="W26" s="1"/>
      <c r="X26" s="1"/>
      <c r="Y26" s="1"/>
      <c r="Z26" s="1"/>
    </row>
    <row r="27" spans="3:26" x14ac:dyDescent="0.2">
      <c r="C27" s="82" t="s">
        <v>38</v>
      </c>
      <c r="D27" s="81">
        <v>0</v>
      </c>
      <c r="E27" s="81">
        <v>0</v>
      </c>
      <c r="F27" s="81">
        <v>0</v>
      </c>
      <c r="G27" s="81">
        <v>0</v>
      </c>
      <c r="H27" s="81">
        <v>0</v>
      </c>
      <c r="L27" s="119" t="s">
        <v>96</v>
      </c>
      <c r="M27" s="120" t="s">
        <v>95</v>
      </c>
      <c r="N27" s="120" t="s">
        <v>123</v>
      </c>
      <c r="O27" s="120" t="s">
        <v>53</v>
      </c>
      <c r="P27" s="120" t="s">
        <v>60</v>
      </c>
      <c r="R27" s="1"/>
      <c r="S27" s="1"/>
      <c r="T27" s="1"/>
      <c r="U27" s="1"/>
      <c r="V27" s="1"/>
      <c r="W27" s="1"/>
      <c r="X27" s="1"/>
      <c r="Y27" s="1"/>
      <c r="Z27" s="1"/>
    </row>
    <row r="28" spans="3:26" x14ac:dyDescent="0.2">
      <c r="C28" s="16" t="s">
        <v>40</v>
      </c>
      <c r="D28" s="83">
        <f>D27/$D$6</f>
        <v>0</v>
      </c>
      <c r="E28" s="83">
        <f>E27/$D$6</f>
        <v>0</v>
      </c>
      <c r="F28" s="83">
        <f>F27/$D$6</f>
        <v>0</v>
      </c>
      <c r="G28" s="83">
        <f>G27/$D$6</f>
        <v>0</v>
      </c>
      <c r="H28" s="83">
        <f>H27/$D$6</f>
        <v>0</v>
      </c>
      <c r="L28" s="18" t="str">
        <f t="shared" ref="L28:L35" si="6">L14</f>
        <v>2018Q1</v>
      </c>
      <c r="M28" s="18" t="str">
        <f>INDEX('Fixed inputs'!$E$6:$E$18,MATCH(L28,'Fixed inputs'!$D$6:$D$18,0))</f>
        <v>2017/18</v>
      </c>
      <c r="N28" s="58">
        <f t="shared" ref="N28:N35" si="7">$J14/1000</f>
        <v>8.0000000000000002E-3</v>
      </c>
      <c r="O28" s="52">
        <f>($J14+INDEX($D$28:$H$28,MATCH($M28,$D$26:$H$26,0)))/1000</f>
        <v>8.0000000000000002E-3</v>
      </c>
      <c r="P28" s="59">
        <f>($J14+INDEX($D$32:$H$32,MATCH($M28,$D$30:$H$30,0)))/1000</f>
        <v>2.8332197519202004E-2</v>
      </c>
      <c r="R28" s="1"/>
      <c r="S28" s="1"/>
      <c r="T28" s="1"/>
      <c r="U28" s="1"/>
      <c r="V28" s="1"/>
      <c r="W28" s="1"/>
      <c r="X28" s="1"/>
      <c r="Y28" s="1"/>
      <c r="Z28" s="1"/>
    </row>
    <row r="29" spans="3:26" x14ac:dyDescent="0.2">
      <c r="C29" s="12"/>
      <c r="D29" s="12"/>
      <c r="E29" s="12"/>
      <c r="F29" s="12"/>
      <c r="L29" s="51" t="str">
        <f t="shared" si="6"/>
        <v>2018Q2</v>
      </c>
      <c r="M29" s="51" t="str">
        <f>INDEX('Fixed inputs'!$E$6:$E$18,MATCH(L29,'Fixed inputs'!$D$6:$D$18,0))</f>
        <v>2018/19</v>
      </c>
      <c r="N29" s="58">
        <f t="shared" si="7"/>
        <v>8.0000000000000002E-3</v>
      </c>
      <c r="O29" s="52">
        <f t="shared" ref="O29:O35" si="8">($J15+INDEX($D$28:$H$28,MATCH($M29,$D$26:$H$26,0)))/1000</f>
        <v>8.0000000000000002E-3</v>
      </c>
      <c r="P29" s="59">
        <f t="shared" ref="P29:P35" si="9">($J15+INDEX($D$32:$H$32,MATCH($M29,$D$30:$H$30,0)))/1000</f>
        <v>2.8332197519202004E-2</v>
      </c>
      <c r="R29" s="1"/>
      <c r="S29" s="1"/>
      <c r="T29" s="1"/>
      <c r="U29" s="1"/>
      <c r="V29" s="1"/>
      <c r="W29" s="1"/>
      <c r="X29" s="1"/>
      <c r="Y29" s="1"/>
      <c r="Z29" s="1"/>
    </row>
    <row r="30" spans="3:26" x14ac:dyDescent="0.2">
      <c r="C30" s="124" t="s">
        <v>39</v>
      </c>
      <c r="D30" s="125" t="s">
        <v>89</v>
      </c>
      <c r="E30" s="126" t="s">
        <v>90</v>
      </c>
      <c r="F30" s="126" t="s">
        <v>115</v>
      </c>
      <c r="G30" s="126" t="s">
        <v>118</v>
      </c>
      <c r="H30" s="126" t="s">
        <v>119</v>
      </c>
      <c r="L30" s="51" t="str">
        <f t="shared" si="6"/>
        <v>2018Q3</v>
      </c>
      <c r="M30" s="51" t="str">
        <f>INDEX('Fixed inputs'!$E$6:$E$18,MATCH(L30,'Fixed inputs'!$D$6:$D$18,0))</f>
        <v>2018/19</v>
      </c>
      <c r="N30" s="58">
        <f t="shared" si="7"/>
        <v>8.0000000000000002E-3</v>
      </c>
      <c r="O30" s="52">
        <f t="shared" si="8"/>
        <v>8.0000000000000002E-3</v>
      </c>
      <c r="P30" s="59">
        <f t="shared" si="9"/>
        <v>2.8332197519202004E-2</v>
      </c>
      <c r="R30" s="1"/>
      <c r="S30" s="1"/>
      <c r="T30" s="1"/>
      <c r="U30" s="1"/>
      <c r="V30" s="1"/>
      <c r="W30" s="1"/>
      <c r="X30" s="1"/>
      <c r="Y30" s="1"/>
      <c r="Z30" s="1"/>
    </row>
    <row r="31" spans="3:26" x14ac:dyDescent="0.2">
      <c r="C31" s="82" t="s">
        <v>38</v>
      </c>
      <c r="D31" s="88">
        <v>18.079999999999998</v>
      </c>
      <c r="E31" s="88">
        <v>18.079999999999998</v>
      </c>
      <c r="F31" s="88">
        <v>18.079999999999998</v>
      </c>
      <c r="G31" s="88">
        <v>18.079999999999998</v>
      </c>
      <c r="H31" s="88">
        <v>18.079999999999998</v>
      </c>
      <c r="L31" s="51" t="str">
        <f t="shared" si="6"/>
        <v>2018Q4</v>
      </c>
      <c r="M31" s="51" t="str">
        <f>INDEX('Fixed inputs'!$E$6:$E$18,MATCH(L31,'Fixed inputs'!$D$6:$D$18,0))</f>
        <v>2018/19</v>
      </c>
      <c r="N31" s="58">
        <f t="shared" si="7"/>
        <v>8.0000000000000002E-3</v>
      </c>
      <c r="O31" s="52">
        <f t="shared" si="8"/>
        <v>8.0000000000000002E-3</v>
      </c>
      <c r="P31" s="59">
        <f t="shared" si="9"/>
        <v>2.8332197519202004E-2</v>
      </c>
    </row>
    <row r="32" spans="3:26" x14ac:dyDescent="0.2">
      <c r="C32" s="16" t="s">
        <v>40</v>
      </c>
      <c r="D32" s="83">
        <f>D31/$D$6</f>
        <v>20.332197519202005</v>
      </c>
      <c r="E32" s="83">
        <f>E31/$D$6</f>
        <v>20.332197519202005</v>
      </c>
      <c r="F32" s="83">
        <f>F31/$D$6</f>
        <v>20.332197519202005</v>
      </c>
      <c r="G32" s="83">
        <f>G31/$D$6</f>
        <v>20.332197519202005</v>
      </c>
      <c r="H32" s="83">
        <f>H31/$D$6</f>
        <v>20.332197519202005</v>
      </c>
      <c r="L32" s="51" t="str">
        <f t="shared" si="6"/>
        <v>2019Q1</v>
      </c>
      <c r="M32" s="51" t="str">
        <f>INDEX('Fixed inputs'!$E$6:$E$18,MATCH(L32,'Fixed inputs'!$D$6:$D$18,0))</f>
        <v>2018/19</v>
      </c>
      <c r="N32" s="58">
        <f t="shared" si="7"/>
        <v>8.0000000000000002E-3</v>
      </c>
      <c r="O32" s="52">
        <f t="shared" si="8"/>
        <v>8.0000000000000002E-3</v>
      </c>
      <c r="P32" s="59">
        <f t="shared" si="9"/>
        <v>2.8332197519202004E-2</v>
      </c>
    </row>
    <row r="33" spans="3:16" x14ac:dyDescent="0.2">
      <c r="L33" s="51" t="str">
        <f t="shared" si="6"/>
        <v>2019Q2</v>
      </c>
      <c r="M33" s="51" t="str">
        <f>INDEX('Fixed inputs'!$E$6:$E$18,MATCH(L33,'Fixed inputs'!$D$6:$D$18,0))</f>
        <v>2019/20</v>
      </c>
      <c r="N33" s="58">
        <f t="shared" si="7"/>
        <v>8.0000000000000002E-3</v>
      </c>
      <c r="O33" s="52">
        <f t="shared" si="8"/>
        <v>8.0000000000000002E-3</v>
      </c>
      <c r="P33" s="59">
        <f t="shared" si="9"/>
        <v>2.8332197519202004E-2</v>
      </c>
    </row>
    <row r="34" spans="3:16" x14ac:dyDescent="0.2">
      <c r="K34" s="12"/>
      <c r="L34" s="51" t="str">
        <f t="shared" si="6"/>
        <v>2019Q3</v>
      </c>
      <c r="M34" s="51" t="str">
        <f>INDEX('Fixed inputs'!$E$6:$E$18,MATCH(L34,'Fixed inputs'!$D$6:$D$18,0))</f>
        <v>2019/20</v>
      </c>
      <c r="N34" s="58">
        <f t="shared" si="7"/>
        <v>8.0000000000000002E-3</v>
      </c>
      <c r="O34" s="52">
        <f t="shared" si="8"/>
        <v>8.0000000000000002E-3</v>
      </c>
      <c r="P34" s="59">
        <f t="shared" si="9"/>
        <v>2.8332197519202004E-2</v>
      </c>
    </row>
    <row r="35" spans="3:16" x14ac:dyDescent="0.2">
      <c r="L35" s="17" t="str">
        <f t="shared" si="6"/>
        <v>2019Q4</v>
      </c>
      <c r="M35" s="17" t="str">
        <f>INDEX('Fixed inputs'!$E$6:$E$18,MATCH(L35,'Fixed inputs'!$D$6:$D$18,0))</f>
        <v>2019/20</v>
      </c>
      <c r="N35" s="60">
        <f t="shared" si="7"/>
        <v>8.0000000000000002E-3</v>
      </c>
      <c r="O35" s="55">
        <f t="shared" si="8"/>
        <v>8.0000000000000002E-3</v>
      </c>
      <c r="P35" s="61">
        <f t="shared" si="9"/>
        <v>2.8332197519202004E-2</v>
      </c>
    </row>
    <row r="36" spans="3:16" x14ac:dyDescent="0.2">
      <c r="C36" s="14"/>
      <c r="D36" s="14"/>
      <c r="E36" s="14"/>
      <c r="F36" s="14"/>
    </row>
    <row r="37" spans="3:16" x14ac:dyDescent="0.2">
      <c r="C37" s="14"/>
      <c r="D37" s="14"/>
      <c r="E37" s="14"/>
      <c r="F37" s="14"/>
      <c r="H37" s="13"/>
      <c r="I37" s="13"/>
    </row>
    <row r="38" spans="3:16" x14ac:dyDescent="0.2">
      <c r="C38" s="14"/>
      <c r="D38" s="14"/>
      <c r="E38" s="14"/>
      <c r="F38" s="14"/>
      <c r="H38" s="48"/>
      <c r="I38" s="49"/>
    </row>
    <row r="39" spans="3:16" x14ac:dyDescent="0.2">
      <c r="C39" s="14"/>
      <c r="D39" s="14"/>
      <c r="E39" s="14"/>
      <c r="F39" s="14"/>
      <c r="H39" s="48"/>
      <c r="I39" s="49"/>
    </row>
    <row r="40" spans="3:16" x14ac:dyDescent="0.2">
      <c r="C40" s="14"/>
      <c r="D40" s="14"/>
      <c r="E40" s="14"/>
      <c r="F40" s="14"/>
      <c r="H40" s="48"/>
      <c r="I40" s="49"/>
    </row>
    <row r="41" spans="3:16" x14ac:dyDescent="0.2">
      <c r="C41" s="14"/>
      <c r="D41" s="14"/>
      <c r="E41" s="14"/>
      <c r="F41" s="14"/>
    </row>
    <row r="42" spans="3:16" x14ac:dyDescent="0.2">
      <c r="C42" s="14"/>
      <c r="D42" s="14"/>
      <c r="E42" s="14"/>
      <c r="F42" s="14"/>
    </row>
    <row r="43" spans="3:16" x14ac:dyDescent="0.2">
      <c r="C43" s="14"/>
      <c r="D43" s="14"/>
      <c r="E43" s="14"/>
      <c r="F43" s="14"/>
    </row>
    <row r="44" spans="3:16" x14ac:dyDescent="0.2">
      <c r="C44" s="14"/>
      <c r="D44" s="14"/>
      <c r="E44" s="14"/>
      <c r="F44" s="14"/>
    </row>
    <row r="45" spans="3:16" x14ac:dyDescent="0.2">
      <c r="C45" s="14"/>
      <c r="D45" s="14"/>
      <c r="E45" s="14"/>
      <c r="F45" s="14"/>
    </row>
    <row r="46" spans="3:16" x14ac:dyDescent="0.2">
      <c r="C46" s="14"/>
      <c r="D46" s="14"/>
      <c r="E46" s="14"/>
      <c r="F46" s="14"/>
    </row>
    <row r="49" spans="3:6" x14ac:dyDescent="0.2">
      <c r="C49" s="14"/>
      <c r="D49" s="14"/>
      <c r="E49" s="14"/>
      <c r="F49" s="14"/>
    </row>
    <row r="50" spans="3:6" x14ac:dyDescent="0.2">
      <c r="C50" s="14"/>
      <c r="D50" s="14"/>
      <c r="E50" s="14"/>
      <c r="F50" s="14"/>
    </row>
    <row r="51" spans="3:6" x14ac:dyDescent="0.2">
      <c r="C51" s="14"/>
      <c r="D51" s="14"/>
      <c r="E51" s="14"/>
      <c r="F51" s="14"/>
    </row>
    <row r="52" spans="3:6" x14ac:dyDescent="0.2">
      <c r="C52" s="14"/>
      <c r="D52" s="14"/>
      <c r="E52" s="14"/>
      <c r="F52" s="14"/>
    </row>
    <row r="53" spans="3:6" x14ac:dyDescent="0.2">
      <c r="C53" s="14"/>
      <c r="D53" s="14"/>
      <c r="E53" s="14"/>
      <c r="F53" s="14"/>
    </row>
    <row r="54" spans="3:6" x14ac:dyDescent="0.2">
      <c r="C54" s="14"/>
      <c r="D54" s="14"/>
      <c r="E54" s="14"/>
      <c r="F54" s="14"/>
    </row>
    <row r="55" spans="3:6" x14ac:dyDescent="0.2">
      <c r="C55" s="14"/>
      <c r="D55" s="14"/>
      <c r="E55" s="14"/>
      <c r="F55" s="14"/>
    </row>
    <row r="56" spans="3:6" x14ac:dyDescent="0.2">
      <c r="C56" s="14"/>
      <c r="D56" s="14"/>
      <c r="E56" s="14"/>
      <c r="F56" s="14"/>
    </row>
    <row r="57" spans="3:6" x14ac:dyDescent="0.2">
      <c r="C57" s="14"/>
      <c r="D57" s="14"/>
      <c r="E57" s="14"/>
      <c r="F57" s="14"/>
    </row>
    <row r="58" spans="3:6" x14ac:dyDescent="0.2">
      <c r="C58" s="14"/>
      <c r="D58" s="14"/>
      <c r="E58" s="14"/>
      <c r="F58" s="14"/>
    </row>
    <row r="59" spans="3:6" x14ac:dyDescent="0.2">
      <c r="C59" s="14"/>
      <c r="D59" s="14"/>
      <c r="E59" s="14"/>
      <c r="F59" s="14"/>
    </row>
  </sheetData>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1"/>
  </sheetPr>
  <dimension ref="C3:R88"/>
  <sheetViews>
    <sheetView zoomScale="80" zoomScaleNormal="80" workbookViewId="0"/>
  </sheetViews>
  <sheetFormatPr defaultRowHeight="12.75" x14ac:dyDescent="0.2"/>
  <cols>
    <col min="1" max="1" width="12.140625" style="5" customWidth="1"/>
    <col min="2" max="2" width="7.85546875" style="5" customWidth="1"/>
    <col min="3" max="3" width="24.85546875" style="5" bestFit="1" customWidth="1"/>
    <col min="4" max="4" width="9.140625" style="5"/>
    <col min="5" max="5" width="6.42578125" style="5" bestFit="1" customWidth="1"/>
    <col min="6" max="6" width="9.5703125" style="5" bestFit="1" customWidth="1"/>
    <col min="7" max="7" width="42.85546875" style="5" bestFit="1" customWidth="1"/>
    <col min="8" max="8" width="11.42578125" style="5" bestFit="1" customWidth="1"/>
    <col min="9" max="9" width="7" style="5" bestFit="1" customWidth="1"/>
    <col min="10" max="10" width="15.42578125" style="5" customWidth="1"/>
    <col min="11" max="11" width="30.5703125" style="5" customWidth="1"/>
    <col min="12" max="12" width="11.42578125" style="5" bestFit="1" customWidth="1"/>
    <col min="13" max="13" width="7" style="5" bestFit="1" customWidth="1"/>
    <col min="14" max="14" width="21.5703125" style="5" bestFit="1" customWidth="1"/>
    <col min="15" max="16" width="20.7109375" style="5" bestFit="1" customWidth="1"/>
    <col min="17" max="17" width="13.42578125" style="5" bestFit="1" customWidth="1"/>
    <col min="18" max="16384" width="9.140625" style="5"/>
  </cols>
  <sheetData>
    <row r="3" spans="3:18" x14ac:dyDescent="0.2">
      <c r="C3" s="9"/>
      <c r="D3" s="9"/>
      <c r="E3" s="9"/>
      <c r="F3" s="9"/>
      <c r="G3" s="9"/>
      <c r="H3" s="9"/>
      <c r="I3" s="9"/>
      <c r="J3" s="9"/>
      <c r="K3" s="9"/>
      <c r="L3" s="9"/>
      <c r="M3" s="9"/>
      <c r="N3" s="9"/>
      <c r="O3" s="9"/>
      <c r="P3" s="9"/>
      <c r="Q3" s="9"/>
      <c r="R3" s="9"/>
    </row>
    <row r="4" spans="3:18" x14ac:dyDescent="0.2">
      <c r="C4" s="113"/>
      <c r="D4" s="114"/>
      <c r="E4" s="114"/>
      <c r="F4" s="114"/>
      <c r="G4" s="159" t="s">
        <v>41</v>
      </c>
      <c r="H4" s="159"/>
      <c r="I4" s="159"/>
      <c r="J4" s="159"/>
      <c r="K4" s="159" t="s">
        <v>42</v>
      </c>
      <c r="L4" s="159"/>
      <c r="M4" s="159"/>
      <c r="N4" s="159"/>
      <c r="O4" s="114"/>
      <c r="P4" s="114"/>
      <c r="Q4" s="115"/>
      <c r="R4" s="9"/>
    </row>
    <row r="5" spans="3:18" ht="25.5" x14ac:dyDescent="0.2">
      <c r="C5" s="116" t="s">
        <v>43</v>
      </c>
      <c r="D5" s="117" t="s">
        <v>44</v>
      </c>
      <c r="E5" s="117" t="s">
        <v>11</v>
      </c>
      <c r="F5" s="117" t="s">
        <v>13</v>
      </c>
      <c r="G5" s="117" t="s">
        <v>45</v>
      </c>
      <c r="H5" s="117" t="s">
        <v>46</v>
      </c>
      <c r="I5" s="117" t="s">
        <v>12</v>
      </c>
      <c r="J5" s="117" t="s">
        <v>47</v>
      </c>
      <c r="K5" s="117" t="s">
        <v>45</v>
      </c>
      <c r="L5" s="117" t="s">
        <v>46</v>
      </c>
      <c r="M5" s="117" t="s">
        <v>12</v>
      </c>
      <c r="N5" s="117" t="s">
        <v>47</v>
      </c>
      <c r="O5" s="117" t="s">
        <v>48</v>
      </c>
      <c r="P5" s="117" t="s">
        <v>49</v>
      </c>
      <c r="Q5" s="118" t="s">
        <v>50</v>
      </c>
      <c r="R5" s="9"/>
    </row>
    <row r="6" spans="3:18" x14ac:dyDescent="0.2">
      <c r="C6" s="26" t="s">
        <v>5</v>
      </c>
      <c r="D6" s="27" t="s">
        <v>123</v>
      </c>
      <c r="E6" s="27">
        <f>'Commodity inputs and calcs'!C14</f>
        <v>2018</v>
      </c>
      <c r="F6" s="28" t="str">
        <f>'Commodity inputs and calcs'!D14</f>
        <v>Q1</v>
      </c>
      <c r="G6" s="19" t="s">
        <v>51</v>
      </c>
      <c r="H6" s="6" t="s">
        <v>92</v>
      </c>
      <c r="I6" s="6" t="s">
        <v>52</v>
      </c>
      <c r="J6" s="42">
        <v>1</v>
      </c>
      <c r="K6" s="19" t="s">
        <v>51</v>
      </c>
      <c r="L6" s="6" t="s">
        <v>94</v>
      </c>
      <c r="M6" s="6" t="s">
        <v>52</v>
      </c>
      <c r="N6" s="42">
        <v>2.33</v>
      </c>
      <c r="O6" s="62">
        <f ca="1">IF(H6="","",J6*(1/INDIRECT($H6))/INDEX('Fixed inputs'!$D$24:$D$28,MATCH($C6,'Fixed inputs'!$B$24:$B$28,0)))</f>
        <v>3.4150224927041464E-2</v>
      </c>
      <c r="P6" s="63">
        <f ca="1">IF(L6="","",N6*(1/(INDIRECT($L6))/INDEX('Fixed inputs'!$D$24:$D$28,MATCH($C6,'Fixed inputs'!$B$24:$B$28,0))))</f>
        <v>9.2754777070063688E-2</v>
      </c>
      <c r="Q6" s="64">
        <f t="shared" ref="Q6:Q69" ca="1" si="0">SUM(O6,P6)</f>
        <v>0.12690500199710514</v>
      </c>
      <c r="R6" s="9"/>
    </row>
    <row r="7" spans="3:18" x14ac:dyDescent="0.2">
      <c r="C7" s="26" t="s">
        <v>5</v>
      </c>
      <c r="D7" s="27" t="s">
        <v>123</v>
      </c>
      <c r="E7" s="27">
        <f>'Commodity inputs and calcs'!C15</f>
        <v>2018</v>
      </c>
      <c r="F7" s="28" t="str">
        <f>'Commodity inputs and calcs'!D15</f>
        <v>Q2</v>
      </c>
      <c r="G7" s="19" t="s">
        <v>51</v>
      </c>
      <c r="H7" s="6" t="s">
        <v>92</v>
      </c>
      <c r="I7" s="6" t="s">
        <v>52</v>
      </c>
      <c r="J7" s="42">
        <v>1</v>
      </c>
      <c r="K7" s="19" t="s">
        <v>51</v>
      </c>
      <c r="L7" s="6" t="s">
        <v>94</v>
      </c>
      <c r="M7" s="6" t="s">
        <v>52</v>
      </c>
      <c r="N7" s="42">
        <v>2.33</v>
      </c>
      <c r="O7" s="35">
        <f ca="1">IF(H7="","",J7*(1/INDIRECT($H7))/INDEX('Fixed inputs'!$D$24:$D$28,MATCH($C7,'Fixed inputs'!$B$24:$B$28,0)))</f>
        <v>3.4150224927041464E-2</v>
      </c>
      <c r="P7" s="36">
        <f ca="1">IF(L7="","",N7*(1/(INDIRECT($L7))/INDEX('Fixed inputs'!$D$24:$D$28,MATCH($C7,'Fixed inputs'!$B$24:$B$28,0))))</f>
        <v>9.2754777070063688E-2</v>
      </c>
      <c r="Q7" s="37">
        <f t="shared" ca="1" si="0"/>
        <v>0.12690500199710514</v>
      </c>
      <c r="R7" s="9"/>
    </row>
    <row r="8" spans="3:18" x14ac:dyDescent="0.2">
      <c r="C8" s="26" t="s">
        <v>5</v>
      </c>
      <c r="D8" s="27" t="s">
        <v>123</v>
      </c>
      <c r="E8" s="27">
        <f>'Commodity inputs and calcs'!C16</f>
        <v>2018</v>
      </c>
      <c r="F8" s="28" t="str">
        <f>'Commodity inputs and calcs'!D16</f>
        <v>Q3</v>
      </c>
      <c r="G8" s="19" t="s">
        <v>51</v>
      </c>
      <c r="H8" s="6" t="s">
        <v>92</v>
      </c>
      <c r="I8" s="6" t="s">
        <v>52</v>
      </c>
      <c r="J8" s="42">
        <v>1</v>
      </c>
      <c r="K8" s="19" t="s">
        <v>51</v>
      </c>
      <c r="L8" s="6" t="s">
        <v>94</v>
      </c>
      <c r="M8" s="6" t="s">
        <v>52</v>
      </c>
      <c r="N8" s="42">
        <v>2.33</v>
      </c>
      <c r="O8" s="35">
        <f ca="1">IF(H8="","",J8*(1/INDIRECT($H8))/INDEX('Fixed inputs'!$D$24:$D$28,MATCH($C8,'Fixed inputs'!$B$24:$B$28,0)))</f>
        <v>3.4150224927041464E-2</v>
      </c>
      <c r="P8" s="36">
        <f ca="1">IF(L8="","",N8*(1/(INDIRECT($L8))/INDEX('Fixed inputs'!$D$24:$D$28,MATCH($C8,'Fixed inputs'!$B$24:$B$28,0))))</f>
        <v>9.2754777070063688E-2</v>
      </c>
      <c r="Q8" s="37">
        <f t="shared" ca="1" si="0"/>
        <v>0.12690500199710514</v>
      </c>
      <c r="R8" s="9"/>
    </row>
    <row r="9" spans="3:18" x14ac:dyDescent="0.2">
      <c r="C9" s="26" t="s">
        <v>5</v>
      </c>
      <c r="D9" s="27" t="s">
        <v>123</v>
      </c>
      <c r="E9" s="27">
        <f>'Commodity inputs and calcs'!C17</f>
        <v>2018</v>
      </c>
      <c r="F9" s="28" t="str">
        <f>'Commodity inputs and calcs'!D17</f>
        <v>Q4</v>
      </c>
      <c r="G9" s="19" t="s">
        <v>51</v>
      </c>
      <c r="H9" s="6" t="s">
        <v>92</v>
      </c>
      <c r="I9" s="6" t="s">
        <v>52</v>
      </c>
      <c r="J9" s="42">
        <v>1</v>
      </c>
      <c r="K9" s="19" t="s">
        <v>51</v>
      </c>
      <c r="L9" s="6" t="s">
        <v>94</v>
      </c>
      <c r="M9" s="6" t="s">
        <v>52</v>
      </c>
      <c r="N9" s="42">
        <v>2.33</v>
      </c>
      <c r="O9" s="35">
        <f ca="1">IF(H9="","",J9*(1/INDIRECT($H9))/INDEX('Fixed inputs'!$D$24:$D$28,MATCH($C9,'Fixed inputs'!$B$24:$B$28,0)))</f>
        <v>3.4150224927041464E-2</v>
      </c>
      <c r="P9" s="36">
        <f ca="1">IF(L9="","",N9*(1/(INDIRECT($L9))/INDEX('Fixed inputs'!$D$24:$D$28,MATCH($C9,'Fixed inputs'!$B$24:$B$28,0))))</f>
        <v>9.2754777070063688E-2</v>
      </c>
      <c r="Q9" s="37">
        <f t="shared" ca="1" si="0"/>
        <v>0.12690500199710514</v>
      </c>
      <c r="R9" s="9"/>
    </row>
    <row r="10" spans="3:18" x14ac:dyDescent="0.2">
      <c r="C10" s="26" t="s">
        <v>5</v>
      </c>
      <c r="D10" s="27" t="s">
        <v>123</v>
      </c>
      <c r="E10" s="27">
        <f>'Commodity inputs and calcs'!C18</f>
        <v>2019</v>
      </c>
      <c r="F10" s="28" t="str">
        <f>'Commodity inputs and calcs'!D18</f>
        <v>Q1</v>
      </c>
      <c r="G10" s="19" t="s">
        <v>51</v>
      </c>
      <c r="H10" s="6" t="s">
        <v>92</v>
      </c>
      <c r="I10" s="6" t="s">
        <v>52</v>
      </c>
      <c r="J10" s="42">
        <v>1</v>
      </c>
      <c r="K10" s="19" t="s">
        <v>51</v>
      </c>
      <c r="L10" s="6" t="s">
        <v>94</v>
      </c>
      <c r="M10" s="6" t="s">
        <v>52</v>
      </c>
      <c r="N10" s="42">
        <v>2.33</v>
      </c>
      <c r="O10" s="35">
        <f ca="1">IF(H10="","",J10*(1/INDIRECT($H10))/INDEX('Fixed inputs'!$D$24:$D$28,MATCH($C10,'Fixed inputs'!$B$24:$B$28,0)))</f>
        <v>3.4150224927041464E-2</v>
      </c>
      <c r="P10" s="36">
        <f ca="1">IF(L10="","",N10*(1/(INDIRECT($L10))/INDEX('Fixed inputs'!$D$24:$D$28,MATCH($C10,'Fixed inputs'!$B$24:$B$28,0))))</f>
        <v>9.2754777070063688E-2</v>
      </c>
      <c r="Q10" s="37">
        <f t="shared" ca="1" si="0"/>
        <v>0.12690500199710514</v>
      </c>
      <c r="R10" s="9"/>
    </row>
    <row r="11" spans="3:18" x14ac:dyDescent="0.2">
      <c r="C11" s="26" t="s">
        <v>5</v>
      </c>
      <c r="D11" s="27" t="s">
        <v>123</v>
      </c>
      <c r="E11" s="27">
        <f>'Commodity inputs and calcs'!C19</f>
        <v>2019</v>
      </c>
      <c r="F11" s="28" t="str">
        <f>'Commodity inputs and calcs'!D19</f>
        <v>Q2</v>
      </c>
      <c r="G11" s="19" t="s">
        <v>51</v>
      </c>
      <c r="H11" s="6" t="s">
        <v>92</v>
      </c>
      <c r="I11" s="6" t="s">
        <v>52</v>
      </c>
      <c r="J11" s="42">
        <v>1</v>
      </c>
      <c r="K11" s="19" t="s">
        <v>51</v>
      </c>
      <c r="L11" s="6" t="s">
        <v>94</v>
      </c>
      <c r="M11" s="6" t="s">
        <v>52</v>
      </c>
      <c r="N11" s="42">
        <v>2.33</v>
      </c>
      <c r="O11" s="35">
        <f ca="1">IF(H11="","",J11*(1/INDIRECT($H11))/INDEX('Fixed inputs'!$D$24:$D$28,MATCH($C11,'Fixed inputs'!$B$24:$B$28,0)))</f>
        <v>3.4150224927041464E-2</v>
      </c>
      <c r="P11" s="36">
        <f ca="1">IF(L11="","",N11*(1/(INDIRECT($L11))/INDEX('Fixed inputs'!$D$24:$D$28,MATCH($C11,'Fixed inputs'!$B$24:$B$28,0))))</f>
        <v>9.2754777070063688E-2</v>
      </c>
      <c r="Q11" s="37">
        <f t="shared" ca="1" si="0"/>
        <v>0.12690500199710514</v>
      </c>
      <c r="R11" s="9"/>
    </row>
    <row r="12" spans="3:18" x14ac:dyDescent="0.2">
      <c r="C12" s="26" t="s">
        <v>5</v>
      </c>
      <c r="D12" s="27" t="s">
        <v>123</v>
      </c>
      <c r="E12" s="27">
        <f>'Commodity inputs and calcs'!C20</f>
        <v>2019</v>
      </c>
      <c r="F12" s="28" t="str">
        <f>'Commodity inputs and calcs'!D20</f>
        <v>Q3</v>
      </c>
      <c r="G12" s="19" t="s">
        <v>51</v>
      </c>
      <c r="H12" s="6" t="s">
        <v>92</v>
      </c>
      <c r="I12" s="6" t="s">
        <v>52</v>
      </c>
      <c r="J12" s="42">
        <v>1</v>
      </c>
      <c r="K12" s="19" t="s">
        <v>51</v>
      </c>
      <c r="L12" s="6" t="s">
        <v>94</v>
      </c>
      <c r="M12" s="6" t="s">
        <v>52</v>
      </c>
      <c r="N12" s="42">
        <v>2.33</v>
      </c>
      <c r="O12" s="35">
        <f ca="1">IF(H12="","",J12*(1/INDIRECT($H12))/INDEX('Fixed inputs'!$D$24:$D$28,MATCH($C12,'Fixed inputs'!$B$24:$B$28,0)))</f>
        <v>3.4150224927041464E-2</v>
      </c>
      <c r="P12" s="36">
        <f ca="1">IF(L12="","",N12*(1/(INDIRECT($L12))/INDEX('Fixed inputs'!$D$24:$D$28,MATCH($C12,'Fixed inputs'!$B$24:$B$28,0))))</f>
        <v>9.2754777070063688E-2</v>
      </c>
      <c r="Q12" s="37">
        <f t="shared" ca="1" si="0"/>
        <v>0.12690500199710514</v>
      </c>
      <c r="R12" s="9"/>
    </row>
    <row r="13" spans="3:18" x14ac:dyDescent="0.2">
      <c r="C13" s="29" t="s">
        <v>5</v>
      </c>
      <c r="D13" s="24" t="s">
        <v>123</v>
      </c>
      <c r="E13" s="24">
        <f>'Commodity inputs and calcs'!C21</f>
        <v>2019</v>
      </c>
      <c r="F13" s="30" t="str">
        <f>'Commodity inputs and calcs'!D21</f>
        <v>Q4</v>
      </c>
      <c r="G13" s="16" t="s">
        <v>51</v>
      </c>
      <c r="H13" s="20" t="s">
        <v>92</v>
      </c>
      <c r="I13" s="20" t="s">
        <v>52</v>
      </c>
      <c r="J13" s="43">
        <v>1</v>
      </c>
      <c r="K13" s="16" t="s">
        <v>51</v>
      </c>
      <c r="L13" s="20" t="s">
        <v>94</v>
      </c>
      <c r="M13" s="20" t="s">
        <v>52</v>
      </c>
      <c r="N13" s="43">
        <v>2.33</v>
      </c>
      <c r="O13" s="38">
        <f ca="1">IF(H13="","",J13*(1/INDIRECT($H13))/INDEX('Fixed inputs'!$D$24:$D$28,MATCH($C13,'Fixed inputs'!$B$24:$B$28,0)))</f>
        <v>3.4150224927041464E-2</v>
      </c>
      <c r="P13" s="25">
        <f ca="1">IF(L13="","",N13*(1/(INDIRECT($L13))/INDEX('Fixed inputs'!$D$24:$D$28,MATCH($C13,'Fixed inputs'!$B$24:$B$28,0))))</f>
        <v>9.2754777070063688E-2</v>
      </c>
      <c r="Q13" s="39">
        <f t="shared" ca="1" si="0"/>
        <v>0.12690500199710514</v>
      </c>
      <c r="R13" s="9"/>
    </row>
    <row r="14" spans="3:18" x14ac:dyDescent="0.2">
      <c r="C14" s="26" t="s">
        <v>5</v>
      </c>
      <c r="D14" s="27" t="s">
        <v>53</v>
      </c>
      <c r="E14" s="27">
        <f>E6</f>
        <v>2018</v>
      </c>
      <c r="F14" s="28" t="str">
        <f>F6</f>
        <v>Q1</v>
      </c>
      <c r="G14" s="19" t="s">
        <v>54</v>
      </c>
      <c r="H14" s="6" t="s">
        <v>92</v>
      </c>
      <c r="I14" s="6" t="s">
        <v>52</v>
      </c>
      <c r="J14" s="42">
        <v>3.6</v>
      </c>
      <c r="K14" s="19" t="s">
        <v>55</v>
      </c>
      <c r="L14" s="6" t="s">
        <v>93</v>
      </c>
      <c r="M14" s="6" t="s">
        <v>52</v>
      </c>
      <c r="N14" s="42">
        <v>10.75</v>
      </c>
      <c r="O14" s="62">
        <f ca="1">IF(H14="","",J14*(1/INDIRECT($H14))/INDEX('Fixed inputs'!$D$24:$D$28,MATCH($C14,'Fixed inputs'!$B$24:$B$28,0)))</f>
        <v>0.12294080973734926</v>
      </c>
      <c r="P14" s="63">
        <f ca="1">IF(L14="","",N14*(1/(INDIRECT($L14))/INDEX('Fixed inputs'!$D$24:$D$28,MATCH($C14,'Fixed inputs'!$B$24:$B$28,0))))</f>
        <v>0.48125441097647559</v>
      </c>
      <c r="Q14" s="64">
        <f t="shared" ca="1" si="0"/>
        <v>0.60419522071382481</v>
      </c>
      <c r="R14" s="9"/>
    </row>
    <row r="15" spans="3:18" x14ac:dyDescent="0.2">
      <c r="C15" s="26" t="s">
        <v>5</v>
      </c>
      <c r="D15" s="27" t="s">
        <v>53</v>
      </c>
      <c r="E15" s="27">
        <f t="shared" ref="E15:F30" si="1">E7</f>
        <v>2018</v>
      </c>
      <c r="F15" s="28" t="str">
        <f t="shared" si="1"/>
        <v>Q2</v>
      </c>
      <c r="G15" s="19" t="s">
        <v>54</v>
      </c>
      <c r="H15" s="6" t="s">
        <v>92</v>
      </c>
      <c r="I15" s="6" t="s">
        <v>52</v>
      </c>
      <c r="J15" s="42">
        <v>3.6</v>
      </c>
      <c r="K15" s="19" t="s">
        <v>55</v>
      </c>
      <c r="L15" s="6" t="s">
        <v>93</v>
      </c>
      <c r="M15" s="6" t="s">
        <v>52</v>
      </c>
      <c r="N15" s="42">
        <v>10.75</v>
      </c>
      <c r="O15" s="35">
        <f ca="1">IF(H15="","",J15*(1/INDIRECT($H15))/INDEX('Fixed inputs'!$D$24:$D$28,MATCH($C15,'Fixed inputs'!$B$24:$B$28,0)))</f>
        <v>0.12294080973734926</v>
      </c>
      <c r="P15" s="36">
        <f ca="1">IF(L15="","",N15*(1/(INDIRECT($L15))/INDEX('Fixed inputs'!$D$24:$D$28,MATCH($C15,'Fixed inputs'!$B$24:$B$28,0))))</f>
        <v>0.48125441097647559</v>
      </c>
      <c r="Q15" s="37">
        <f t="shared" ca="1" si="0"/>
        <v>0.60419522071382481</v>
      </c>
      <c r="R15" s="9"/>
    </row>
    <row r="16" spans="3:18" x14ac:dyDescent="0.2">
      <c r="C16" s="26" t="s">
        <v>5</v>
      </c>
      <c r="D16" s="27" t="s">
        <v>53</v>
      </c>
      <c r="E16" s="27">
        <f t="shared" si="1"/>
        <v>2018</v>
      </c>
      <c r="F16" s="28" t="str">
        <f t="shared" si="1"/>
        <v>Q3</v>
      </c>
      <c r="G16" s="19" t="s">
        <v>54</v>
      </c>
      <c r="H16" s="6" t="s">
        <v>92</v>
      </c>
      <c r="I16" s="6" t="s">
        <v>52</v>
      </c>
      <c r="J16" s="42">
        <v>3.6</v>
      </c>
      <c r="K16" s="19" t="s">
        <v>55</v>
      </c>
      <c r="L16" s="6" t="s">
        <v>93</v>
      </c>
      <c r="M16" s="6" t="s">
        <v>52</v>
      </c>
      <c r="N16" s="42">
        <v>10.75</v>
      </c>
      <c r="O16" s="35">
        <f ca="1">IF(H16="","",J16*(1/INDIRECT($H16))/INDEX('Fixed inputs'!$D$24:$D$28,MATCH($C16,'Fixed inputs'!$B$24:$B$28,0)))</f>
        <v>0.12294080973734926</v>
      </c>
      <c r="P16" s="36">
        <f ca="1">IF(L16="","",N16*(1/(INDIRECT($L16))/INDEX('Fixed inputs'!$D$24:$D$28,MATCH($C16,'Fixed inputs'!$B$24:$B$28,0))))</f>
        <v>0.48125441097647559</v>
      </c>
      <c r="Q16" s="37">
        <f t="shared" ca="1" si="0"/>
        <v>0.60419522071382481</v>
      </c>
      <c r="R16" s="9"/>
    </row>
    <row r="17" spans="3:18" x14ac:dyDescent="0.2">
      <c r="C17" s="26" t="s">
        <v>5</v>
      </c>
      <c r="D17" s="27" t="s">
        <v>53</v>
      </c>
      <c r="E17" s="27">
        <f t="shared" si="1"/>
        <v>2018</v>
      </c>
      <c r="F17" s="28" t="str">
        <f t="shared" si="1"/>
        <v>Q4</v>
      </c>
      <c r="G17" s="19" t="s">
        <v>54</v>
      </c>
      <c r="H17" s="6" t="s">
        <v>92</v>
      </c>
      <c r="I17" s="6" t="s">
        <v>52</v>
      </c>
      <c r="J17" s="42">
        <v>3.6</v>
      </c>
      <c r="K17" s="19" t="s">
        <v>55</v>
      </c>
      <c r="L17" s="6" t="s">
        <v>93</v>
      </c>
      <c r="M17" s="6" t="s">
        <v>52</v>
      </c>
      <c r="N17" s="42">
        <v>10.75</v>
      </c>
      <c r="O17" s="35">
        <f ca="1">IF(H17="","",J17*(1/INDIRECT($H17))/INDEX('Fixed inputs'!$D$24:$D$28,MATCH($C17,'Fixed inputs'!$B$24:$B$28,0)))</f>
        <v>0.12294080973734926</v>
      </c>
      <c r="P17" s="36">
        <f ca="1">IF(L17="","",N17*(1/(INDIRECT($L17))/INDEX('Fixed inputs'!$D$24:$D$28,MATCH($C17,'Fixed inputs'!$B$24:$B$28,0))))</f>
        <v>0.48125441097647559</v>
      </c>
      <c r="Q17" s="37">
        <f t="shared" ca="1" si="0"/>
        <v>0.60419522071382481</v>
      </c>
      <c r="R17" s="9"/>
    </row>
    <row r="18" spans="3:18" x14ac:dyDescent="0.2">
      <c r="C18" s="26" t="s">
        <v>5</v>
      </c>
      <c r="D18" s="27" t="s">
        <v>53</v>
      </c>
      <c r="E18" s="27">
        <f t="shared" si="1"/>
        <v>2019</v>
      </c>
      <c r="F18" s="28" t="str">
        <f t="shared" si="1"/>
        <v>Q1</v>
      </c>
      <c r="G18" s="19" t="s">
        <v>54</v>
      </c>
      <c r="H18" s="6" t="s">
        <v>92</v>
      </c>
      <c r="I18" s="6" t="s">
        <v>52</v>
      </c>
      <c r="J18" s="42">
        <v>3.6</v>
      </c>
      <c r="K18" s="19" t="s">
        <v>55</v>
      </c>
      <c r="L18" s="6" t="s">
        <v>93</v>
      </c>
      <c r="M18" s="6" t="s">
        <v>52</v>
      </c>
      <c r="N18" s="42">
        <v>10.75</v>
      </c>
      <c r="O18" s="35">
        <f ca="1">IF(H18="","",J18*(1/INDIRECT($H18))/INDEX('Fixed inputs'!$D$24:$D$28,MATCH($C18,'Fixed inputs'!$B$24:$B$28,0)))</f>
        <v>0.12294080973734926</v>
      </c>
      <c r="P18" s="36">
        <f ca="1">IF(L18="","",N18*(1/(INDIRECT($L18))/INDEX('Fixed inputs'!$D$24:$D$28,MATCH($C18,'Fixed inputs'!$B$24:$B$28,0))))</f>
        <v>0.48125441097647559</v>
      </c>
      <c r="Q18" s="37">
        <f t="shared" ca="1" si="0"/>
        <v>0.60419522071382481</v>
      </c>
      <c r="R18" s="9"/>
    </row>
    <row r="19" spans="3:18" x14ac:dyDescent="0.2">
      <c r="C19" s="26" t="s">
        <v>5</v>
      </c>
      <c r="D19" s="27" t="s">
        <v>53</v>
      </c>
      <c r="E19" s="27">
        <f t="shared" si="1"/>
        <v>2019</v>
      </c>
      <c r="F19" s="28" t="str">
        <f t="shared" si="1"/>
        <v>Q2</v>
      </c>
      <c r="G19" s="19" t="s">
        <v>54</v>
      </c>
      <c r="H19" s="6" t="s">
        <v>92</v>
      </c>
      <c r="I19" s="6" t="s">
        <v>52</v>
      </c>
      <c r="J19" s="42">
        <v>3.6</v>
      </c>
      <c r="K19" s="19" t="s">
        <v>55</v>
      </c>
      <c r="L19" s="6" t="s">
        <v>93</v>
      </c>
      <c r="M19" s="6" t="s">
        <v>52</v>
      </c>
      <c r="N19" s="42">
        <v>10.75</v>
      </c>
      <c r="O19" s="35">
        <f ca="1">IF(H19="","",J19*(1/INDIRECT($H19))/INDEX('Fixed inputs'!$D$24:$D$28,MATCH($C19,'Fixed inputs'!$B$24:$B$28,0)))</f>
        <v>0.12294080973734926</v>
      </c>
      <c r="P19" s="36">
        <f ca="1">IF(L19="","",N19*(1/(INDIRECT($L19))/INDEX('Fixed inputs'!$D$24:$D$28,MATCH($C19,'Fixed inputs'!$B$24:$B$28,0))))</f>
        <v>0.48125441097647559</v>
      </c>
      <c r="Q19" s="37">
        <f t="shared" ca="1" si="0"/>
        <v>0.60419522071382481</v>
      </c>
      <c r="R19" s="9"/>
    </row>
    <row r="20" spans="3:18" x14ac:dyDescent="0.2">
      <c r="C20" s="26" t="s">
        <v>5</v>
      </c>
      <c r="D20" s="27" t="s">
        <v>53</v>
      </c>
      <c r="E20" s="27">
        <f t="shared" si="1"/>
        <v>2019</v>
      </c>
      <c r="F20" s="28" t="str">
        <f t="shared" si="1"/>
        <v>Q3</v>
      </c>
      <c r="G20" s="19" t="s">
        <v>54</v>
      </c>
      <c r="H20" s="6" t="s">
        <v>92</v>
      </c>
      <c r="I20" s="6" t="s">
        <v>52</v>
      </c>
      <c r="J20" s="42">
        <v>3.6</v>
      </c>
      <c r="K20" s="19" t="s">
        <v>55</v>
      </c>
      <c r="L20" s="6" t="s">
        <v>93</v>
      </c>
      <c r="M20" s="6" t="s">
        <v>52</v>
      </c>
      <c r="N20" s="42">
        <v>10.75</v>
      </c>
      <c r="O20" s="35">
        <f ca="1">IF(H20="","",J20*(1/INDIRECT($H20))/INDEX('Fixed inputs'!$D$24:$D$28,MATCH($C20,'Fixed inputs'!$B$24:$B$28,0)))</f>
        <v>0.12294080973734926</v>
      </c>
      <c r="P20" s="36">
        <f ca="1">IF(L20="","",N20*(1/(INDIRECT($L20))/INDEX('Fixed inputs'!$D$24:$D$28,MATCH($C20,'Fixed inputs'!$B$24:$B$28,0))))</f>
        <v>0.48125441097647559</v>
      </c>
      <c r="Q20" s="37">
        <f t="shared" ca="1" si="0"/>
        <v>0.60419522071382481</v>
      </c>
      <c r="R20" s="9"/>
    </row>
    <row r="21" spans="3:18" x14ac:dyDescent="0.2">
      <c r="C21" s="29" t="s">
        <v>5</v>
      </c>
      <c r="D21" s="24" t="s">
        <v>53</v>
      </c>
      <c r="E21" s="24">
        <f t="shared" si="1"/>
        <v>2019</v>
      </c>
      <c r="F21" s="30" t="str">
        <f t="shared" si="1"/>
        <v>Q4</v>
      </c>
      <c r="G21" s="16" t="s">
        <v>54</v>
      </c>
      <c r="H21" s="20" t="s">
        <v>92</v>
      </c>
      <c r="I21" s="20" t="s">
        <v>52</v>
      </c>
      <c r="J21" s="43">
        <v>3.6</v>
      </c>
      <c r="K21" s="16" t="s">
        <v>55</v>
      </c>
      <c r="L21" s="20" t="s">
        <v>93</v>
      </c>
      <c r="M21" s="20" t="s">
        <v>52</v>
      </c>
      <c r="N21" s="43">
        <v>10.75</v>
      </c>
      <c r="O21" s="38">
        <f ca="1">IF(H21="","",J21*(1/INDIRECT($H21))/INDEX('Fixed inputs'!$D$24:$D$28,MATCH($C21,'Fixed inputs'!$B$24:$B$28,0)))</f>
        <v>0.12294080973734926</v>
      </c>
      <c r="P21" s="25">
        <f ca="1">IF(L21="","",N21*(1/(INDIRECT($L21))/INDEX('Fixed inputs'!$D$24:$D$28,MATCH($C21,'Fixed inputs'!$B$24:$B$28,0))))</f>
        <v>0.48125441097647559</v>
      </c>
      <c r="Q21" s="39">
        <f t="shared" ca="1" si="0"/>
        <v>0.60419522071382481</v>
      </c>
      <c r="R21" s="9"/>
    </row>
    <row r="22" spans="3:18" x14ac:dyDescent="0.2">
      <c r="C22" s="26" t="s">
        <v>6</v>
      </c>
      <c r="D22" s="27" t="s">
        <v>123</v>
      </c>
      <c r="E22" s="27">
        <f t="shared" si="1"/>
        <v>2018</v>
      </c>
      <c r="F22" s="28" t="str">
        <f t="shared" si="1"/>
        <v>Q1</v>
      </c>
      <c r="G22" s="19" t="s">
        <v>56</v>
      </c>
      <c r="H22" s="6" t="s">
        <v>93</v>
      </c>
      <c r="I22" s="6" t="s">
        <v>57</v>
      </c>
      <c r="J22" s="44">
        <v>1.0821270679611649E-2</v>
      </c>
      <c r="K22" s="19" t="s">
        <v>58</v>
      </c>
      <c r="L22" s="6" t="s">
        <v>94</v>
      </c>
      <c r="M22" s="6" t="s">
        <v>57</v>
      </c>
      <c r="N22" s="42">
        <v>2.1754935922330097E-2</v>
      </c>
      <c r="O22" s="62">
        <f ca="1">IF(H22="","",J22*(1/INDIRECT($H22))/INDEX('Fixed inputs'!$D$24:$D$28,MATCH($C22,'Fixed inputs'!$B$24:$B$28,0)))</f>
        <v>0.12815817556954864</v>
      </c>
      <c r="P22" s="63">
        <f ca="1">IF(L22="","",N22*(1/(INDIRECT($L22))/INDEX('Fixed inputs'!$D$24:$D$28,MATCH($C22,'Fixed inputs'!$B$24:$B$28,0))))</f>
        <v>0.22910785026939179</v>
      </c>
      <c r="Q22" s="65">
        <f t="shared" ca="1" si="0"/>
        <v>0.3572660258389404</v>
      </c>
      <c r="R22" s="9"/>
    </row>
    <row r="23" spans="3:18" x14ac:dyDescent="0.2">
      <c r="C23" s="26" t="s">
        <v>6</v>
      </c>
      <c r="D23" s="27" t="s">
        <v>123</v>
      </c>
      <c r="E23" s="27">
        <f t="shared" si="1"/>
        <v>2018</v>
      </c>
      <c r="F23" s="28" t="str">
        <f t="shared" si="1"/>
        <v>Q2</v>
      </c>
      <c r="G23" s="19" t="s">
        <v>56</v>
      </c>
      <c r="H23" s="6" t="s">
        <v>93</v>
      </c>
      <c r="I23" s="6" t="s">
        <v>57</v>
      </c>
      <c r="J23" s="44">
        <v>1.0821270679611649E-2</v>
      </c>
      <c r="K23" s="19" t="s">
        <v>58</v>
      </c>
      <c r="L23" s="6" t="s">
        <v>94</v>
      </c>
      <c r="M23" s="6" t="s">
        <v>57</v>
      </c>
      <c r="N23" s="42">
        <v>2.1754935922330097E-2</v>
      </c>
      <c r="O23" s="35">
        <f ca="1">IF(H23="","",J23*(1/INDIRECT($H23))/INDEX('Fixed inputs'!$D$24:$D$28,MATCH($C23,'Fixed inputs'!$B$24:$B$28,0)))</f>
        <v>0.12815817556954864</v>
      </c>
      <c r="P23" s="36">
        <f ca="1">IF(L23="","",N23*(1/(INDIRECT($L23))/INDEX('Fixed inputs'!$D$24:$D$28,MATCH($C23,'Fixed inputs'!$B$24:$B$28,0))))</f>
        <v>0.22910785026939179</v>
      </c>
      <c r="Q23" s="31">
        <f t="shared" ca="1" si="0"/>
        <v>0.3572660258389404</v>
      </c>
      <c r="R23" s="9"/>
    </row>
    <row r="24" spans="3:18" x14ac:dyDescent="0.2">
      <c r="C24" s="26" t="s">
        <v>6</v>
      </c>
      <c r="D24" s="27" t="s">
        <v>123</v>
      </c>
      <c r="E24" s="27">
        <f t="shared" si="1"/>
        <v>2018</v>
      </c>
      <c r="F24" s="28" t="str">
        <f t="shared" si="1"/>
        <v>Q3</v>
      </c>
      <c r="G24" s="19" t="s">
        <v>56</v>
      </c>
      <c r="H24" s="6" t="s">
        <v>93</v>
      </c>
      <c r="I24" s="6" t="s">
        <v>57</v>
      </c>
      <c r="J24" s="44">
        <v>1.0821270679611649E-2</v>
      </c>
      <c r="K24" s="19" t="s">
        <v>58</v>
      </c>
      <c r="L24" s="6" t="s">
        <v>94</v>
      </c>
      <c r="M24" s="6" t="s">
        <v>57</v>
      </c>
      <c r="N24" s="42">
        <v>2.1754935922330097E-2</v>
      </c>
      <c r="O24" s="35">
        <f ca="1">IF(H24="","",J24*(1/INDIRECT($H24))/INDEX('Fixed inputs'!$D$24:$D$28,MATCH($C24,'Fixed inputs'!$B$24:$B$28,0)))</f>
        <v>0.12815817556954864</v>
      </c>
      <c r="P24" s="36">
        <f ca="1">IF(L24="","",N24*(1/(INDIRECT($L24))/INDEX('Fixed inputs'!$D$24:$D$28,MATCH($C24,'Fixed inputs'!$B$24:$B$28,0))))</f>
        <v>0.22910785026939179</v>
      </c>
      <c r="Q24" s="31">
        <f t="shared" ca="1" si="0"/>
        <v>0.3572660258389404</v>
      </c>
      <c r="R24" s="9"/>
    </row>
    <row r="25" spans="3:18" x14ac:dyDescent="0.2">
      <c r="C25" s="26" t="s">
        <v>6</v>
      </c>
      <c r="D25" s="27" t="s">
        <v>123</v>
      </c>
      <c r="E25" s="27">
        <f t="shared" si="1"/>
        <v>2018</v>
      </c>
      <c r="F25" s="28" t="str">
        <f t="shared" si="1"/>
        <v>Q4</v>
      </c>
      <c r="G25" s="19" t="s">
        <v>56</v>
      </c>
      <c r="H25" s="6" t="s">
        <v>93</v>
      </c>
      <c r="I25" s="6" t="s">
        <v>57</v>
      </c>
      <c r="J25" s="44">
        <v>1.0821270679611649E-2</v>
      </c>
      <c r="K25" s="19" t="s">
        <v>58</v>
      </c>
      <c r="L25" s="6" t="s">
        <v>94</v>
      </c>
      <c r="M25" s="6" t="s">
        <v>57</v>
      </c>
      <c r="N25" s="42">
        <v>2.1754935922330097E-2</v>
      </c>
      <c r="O25" s="35">
        <f ca="1">IF(H25="","",J25*(1/INDIRECT($H25))/INDEX('Fixed inputs'!$D$24:$D$28,MATCH($C25,'Fixed inputs'!$B$24:$B$28,0)))</f>
        <v>0.12815817556954864</v>
      </c>
      <c r="P25" s="36">
        <f ca="1">IF(L25="","",N25*(1/(INDIRECT($L25))/INDEX('Fixed inputs'!$D$24:$D$28,MATCH($C25,'Fixed inputs'!$B$24:$B$28,0))))</f>
        <v>0.22910785026939179</v>
      </c>
      <c r="Q25" s="31">
        <f t="shared" ca="1" si="0"/>
        <v>0.3572660258389404</v>
      </c>
      <c r="R25" s="9"/>
    </row>
    <row r="26" spans="3:18" x14ac:dyDescent="0.2">
      <c r="C26" s="26" t="s">
        <v>6</v>
      </c>
      <c r="D26" s="27" t="s">
        <v>123</v>
      </c>
      <c r="E26" s="27">
        <f t="shared" si="1"/>
        <v>2019</v>
      </c>
      <c r="F26" s="28" t="str">
        <f t="shared" si="1"/>
        <v>Q1</v>
      </c>
      <c r="G26" s="19" t="s">
        <v>56</v>
      </c>
      <c r="H26" s="6" t="s">
        <v>93</v>
      </c>
      <c r="I26" s="6" t="s">
        <v>57</v>
      </c>
      <c r="J26" s="44">
        <v>1.0821270679611649E-2</v>
      </c>
      <c r="K26" s="19" t="s">
        <v>58</v>
      </c>
      <c r="L26" s="6" t="s">
        <v>94</v>
      </c>
      <c r="M26" s="6" t="s">
        <v>57</v>
      </c>
      <c r="N26" s="42">
        <v>2.1754935922330097E-2</v>
      </c>
      <c r="O26" s="35">
        <f ca="1">IF(H26="","",J26*(1/INDIRECT($H26))/INDEX('Fixed inputs'!$D$24:$D$28,MATCH($C26,'Fixed inputs'!$B$24:$B$28,0)))</f>
        <v>0.12815817556954864</v>
      </c>
      <c r="P26" s="36">
        <f ca="1">IF(L26="","",N26*(1/(INDIRECT($L26))/INDEX('Fixed inputs'!$D$24:$D$28,MATCH($C26,'Fixed inputs'!$B$24:$B$28,0))))</f>
        <v>0.22910785026939179</v>
      </c>
      <c r="Q26" s="31">
        <f t="shared" ca="1" si="0"/>
        <v>0.3572660258389404</v>
      </c>
      <c r="R26" s="9"/>
    </row>
    <row r="27" spans="3:18" x14ac:dyDescent="0.2">
      <c r="C27" s="26" t="s">
        <v>6</v>
      </c>
      <c r="D27" s="27" t="s">
        <v>123</v>
      </c>
      <c r="E27" s="27">
        <f t="shared" si="1"/>
        <v>2019</v>
      </c>
      <c r="F27" s="28" t="str">
        <f t="shared" si="1"/>
        <v>Q2</v>
      </c>
      <c r="G27" s="19" t="s">
        <v>56</v>
      </c>
      <c r="H27" s="6" t="s">
        <v>93</v>
      </c>
      <c r="I27" s="6" t="s">
        <v>57</v>
      </c>
      <c r="J27" s="44">
        <v>1.0821270679611649E-2</v>
      </c>
      <c r="K27" s="19" t="s">
        <v>58</v>
      </c>
      <c r="L27" s="6" t="s">
        <v>94</v>
      </c>
      <c r="M27" s="6" t="s">
        <v>57</v>
      </c>
      <c r="N27" s="42">
        <v>2.1754935922330097E-2</v>
      </c>
      <c r="O27" s="35">
        <f ca="1">IF(H27="","",J27*(1/INDIRECT($H27))/INDEX('Fixed inputs'!$D$24:$D$28,MATCH($C27,'Fixed inputs'!$B$24:$B$28,0)))</f>
        <v>0.12815817556954864</v>
      </c>
      <c r="P27" s="36">
        <f ca="1">IF(L27="","",N27*(1/(INDIRECT($L27))/INDEX('Fixed inputs'!$D$24:$D$28,MATCH($C27,'Fixed inputs'!$B$24:$B$28,0))))</f>
        <v>0.22910785026939179</v>
      </c>
      <c r="Q27" s="31">
        <f t="shared" ca="1" si="0"/>
        <v>0.3572660258389404</v>
      </c>
      <c r="R27" s="9"/>
    </row>
    <row r="28" spans="3:18" x14ac:dyDescent="0.2">
      <c r="C28" s="26" t="s">
        <v>6</v>
      </c>
      <c r="D28" s="27" t="s">
        <v>123</v>
      </c>
      <c r="E28" s="27">
        <f t="shared" si="1"/>
        <v>2019</v>
      </c>
      <c r="F28" s="28" t="str">
        <f t="shared" si="1"/>
        <v>Q3</v>
      </c>
      <c r="G28" s="19" t="s">
        <v>56</v>
      </c>
      <c r="H28" s="6" t="s">
        <v>93</v>
      </c>
      <c r="I28" s="6" t="s">
        <v>57</v>
      </c>
      <c r="J28" s="44">
        <v>1.0821270679611649E-2</v>
      </c>
      <c r="K28" s="19" t="s">
        <v>58</v>
      </c>
      <c r="L28" s="6" t="s">
        <v>94</v>
      </c>
      <c r="M28" s="6" t="s">
        <v>57</v>
      </c>
      <c r="N28" s="42">
        <v>2.1754935922330097E-2</v>
      </c>
      <c r="O28" s="35">
        <f ca="1">IF(H28="","",J28*(1/INDIRECT($H28))/INDEX('Fixed inputs'!$D$24:$D$28,MATCH($C28,'Fixed inputs'!$B$24:$B$28,0)))</f>
        <v>0.12815817556954864</v>
      </c>
      <c r="P28" s="36">
        <f ca="1">IF(L28="","",N28*(1/(INDIRECT($L28))/INDEX('Fixed inputs'!$D$24:$D$28,MATCH($C28,'Fixed inputs'!$B$24:$B$28,0))))</f>
        <v>0.22910785026939179</v>
      </c>
      <c r="Q28" s="31">
        <f t="shared" ca="1" si="0"/>
        <v>0.3572660258389404</v>
      </c>
      <c r="R28" s="9"/>
    </row>
    <row r="29" spans="3:18" x14ac:dyDescent="0.2">
      <c r="C29" s="29" t="s">
        <v>6</v>
      </c>
      <c r="D29" s="24" t="s">
        <v>123</v>
      </c>
      <c r="E29" s="24">
        <f t="shared" si="1"/>
        <v>2019</v>
      </c>
      <c r="F29" s="30" t="str">
        <f t="shared" si="1"/>
        <v>Q4</v>
      </c>
      <c r="G29" s="16" t="s">
        <v>56</v>
      </c>
      <c r="H29" s="20" t="s">
        <v>93</v>
      </c>
      <c r="I29" s="20" t="s">
        <v>57</v>
      </c>
      <c r="J29" s="45">
        <v>1.0821270679611649E-2</v>
      </c>
      <c r="K29" s="16" t="s">
        <v>58</v>
      </c>
      <c r="L29" s="20" t="s">
        <v>94</v>
      </c>
      <c r="M29" s="20" t="s">
        <v>57</v>
      </c>
      <c r="N29" s="43">
        <v>2.1754935922330097E-2</v>
      </c>
      <c r="O29" s="38">
        <f ca="1">IF(H29="","",J29*(1/INDIRECT($H29))/INDEX('Fixed inputs'!$D$24:$D$28,MATCH($C29,'Fixed inputs'!$B$24:$B$28,0)))</f>
        <v>0.12815817556954864</v>
      </c>
      <c r="P29" s="25">
        <f ca="1">IF(L29="","",N29*(1/(INDIRECT($L29))/INDEX('Fixed inputs'!$D$24:$D$28,MATCH($C29,'Fixed inputs'!$B$24:$B$28,0))))</f>
        <v>0.22910785026939179</v>
      </c>
      <c r="Q29" s="32">
        <f t="shared" ca="1" si="0"/>
        <v>0.3572660258389404</v>
      </c>
      <c r="R29" s="9"/>
    </row>
    <row r="30" spans="3:18" x14ac:dyDescent="0.2">
      <c r="C30" s="26" t="s">
        <v>6</v>
      </c>
      <c r="D30" s="27" t="s">
        <v>53</v>
      </c>
      <c r="E30" s="27">
        <f t="shared" si="1"/>
        <v>2018</v>
      </c>
      <c r="F30" s="28" t="str">
        <f t="shared" si="1"/>
        <v>Q1</v>
      </c>
      <c r="G30" s="19" t="s">
        <v>59</v>
      </c>
      <c r="H30" s="6" t="s">
        <v>93</v>
      </c>
      <c r="I30" s="6" t="s">
        <v>57</v>
      </c>
      <c r="J30" s="46">
        <v>3.8275926607633591E-2</v>
      </c>
      <c r="K30" s="19"/>
      <c r="L30" s="6"/>
      <c r="M30" s="6"/>
      <c r="N30" s="42"/>
      <c r="O30" s="62">
        <f ca="1">IF(H30="","",J30*(1/INDIRECT($H30))/INDEX('Fixed inputs'!$D$24:$D$28,MATCH($C30,'Fixed inputs'!$B$24:$B$28,0)))</f>
        <v>0.45330840226651714</v>
      </c>
      <c r="P30" s="63" t="str">
        <f ca="1">IF(L30="","",N30*(1/(INDIRECT($L30))/INDEX('Fixed inputs'!$D$24:$D$28,MATCH($C30,'Fixed inputs'!$B$24:$B$28,0))))</f>
        <v/>
      </c>
      <c r="Q30" s="66">
        <f t="shared" ca="1" si="0"/>
        <v>0.45330840226651714</v>
      </c>
      <c r="R30" s="9"/>
    </row>
    <row r="31" spans="3:18" x14ac:dyDescent="0.2">
      <c r="C31" s="26" t="s">
        <v>6</v>
      </c>
      <c r="D31" s="27" t="s">
        <v>53</v>
      </c>
      <c r="E31" s="27">
        <f t="shared" ref="E31:F46" si="2">E23</f>
        <v>2018</v>
      </c>
      <c r="F31" s="28" t="str">
        <f t="shared" si="2"/>
        <v>Q2</v>
      </c>
      <c r="G31" s="19" t="s">
        <v>59</v>
      </c>
      <c r="H31" s="6" t="s">
        <v>93</v>
      </c>
      <c r="I31" s="6" t="s">
        <v>57</v>
      </c>
      <c r="J31" s="46">
        <v>3.8275926607633591E-2</v>
      </c>
      <c r="K31" s="19"/>
      <c r="L31" s="6"/>
      <c r="M31" s="6"/>
      <c r="N31" s="42"/>
      <c r="O31" s="35">
        <f ca="1">IF(H31="","",J31*(1/INDIRECT($H31))/INDEX('Fixed inputs'!$D$24:$D$28,MATCH($C31,'Fixed inputs'!$B$24:$B$28,0)))</f>
        <v>0.45330840226651714</v>
      </c>
      <c r="P31" s="36" t="str">
        <f ca="1">IF(L31="","",N31*(1/(INDIRECT($L31))/INDEX('Fixed inputs'!$D$24:$D$28,MATCH($C31,'Fixed inputs'!$B$24:$B$28,0))))</f>
        <v/>
      </c>
      <c r="Q31" s="40">
        <f t="shared" ca="1" si="0"/>
        <v>0.45330840226651714</v>
      </c>
      <c r="R31" s="9"/>
    </row>
    <row r="32" spans="3:18" x14ac:dyDescent="0.2">
      <c r="C32" s="26" t="s">
        <v>6</v>
      </c>
      <c r="D32" s="27" t="s">
        <v>53</v>
      </c>
      <c r="E32" s="27">
        <f t="shared" si="2"/>
        <v>2018</v>
      </c>
      <c r="F32" s="28" t="str">
        <f t="shared" si="2"/>
        <v>Q3</v>
      </c>
      <c r="G32" s="19" t="s">
        <v>59</v>
      </c>
      <c r="H32" s="6" t="s">
        <v>93</v>
      </c>
      <c r="I32" s="6" t="s">
        <v>57</v>
      </c>
      <c r="J32" s="46">
        <v>3.8275926607633591E-2</v>
      </c>
      <c r="K32" s="19"/>
      <c r="L32" s="6"/>
      <c r="M32" s="6"/>
      <c r="N32" s="42"/>
      <c r="O32" s="35">
        <f ca="1">IF(H32="","",J32*(1/INDIRECT($H32))/INDEX('Fixed inputs'!$D$24:$D$28,MATCH($C32,'Fixed inputs'!$B$24:$B$28,0)))</f>
        <v>0.45330840226651714</v>
      </c>
      <c r="P32" s="36" t="str">
        <f ca="1">IF(L32="","",N32*(1/(INDIRECT($L32))/INDEX('Fixed inputs'!$D$24:$D$28,MATCH($C32,'Fixed inputs'!$B$24:$B$28,0))))</f>
        <v/>
      </c>
      <c r="Q32" s="40">
        <f t="shared" ca="1" si="0"/>
        <v>0.45330840226651714</v>
      </c>
      <c r="R32" s="9"/>
    </row>
    <row r="33" spans="3:18" x14ac:dyDescent="0.2">
      <c r="C33" s="26" t="s">
        <v>6</v>
      </c>
      <c r="D33" s="27" t="s">
        <v>53</v>
      </c>
      <c r="E33" s="27">
        <f t="shared" si="2"/>
        <v>2018</v>
      </c>
      <c r="F33" s="28" t="str">
        <f t="shared" si="2"/>
        <v>Q4</v>
      </c>
      <c r="G33" s="19" t="s">
        <v>59</v>
      </c>
      <c r="H33" s="6" t="s">
        <v>93</v>
      </c>
      <c r="I33" s="6" t="s">
        <v>57</v>
      </c>
      <c r="J33" s="46">
        <v>3.8275926607633591E-2</v>
      </c>
      <c r="K33" s="19"/>
      <c r="L33" s="6"/>
      <c r="M33" s="6"/>
      <c r="N33" s="42"/>
      <c r="O33" s="35">
        <f ca="1">IF(H33="","",J33*(1/INDIRECT($H33))/INDEX('Fixed inputs'!$D$24:$D$28,MATCH($C33,'Fixed inputs'!$B$24:$B$28,0)))</f>
        <v>0.45330840226651714</v>
      </c>
      <c r="P33" s="36" t="str">
        <f ca="1">IF(L33="","",N33*(1/(INDIRECT($L33))/INDEX('Fixed inputs'!$D$24:$D$28,MATCH($C33,'Fixed inputs'!$B$24:$B$28,0))))</f>
        <v/>
      </c>
      <c r="Q33" s="40">
        <f t="shared" ca="1" si="0"/>
        <v>0.45330840226651714</v>
      </c>
      <c r="R33" s="9"/>
    </row>
    <row r="34" spans="3:18" x14ac:dyDescent="0.2">
      <c r="C34" s="26" t="s">
        <v>6</v>
      </c>
      <c r="D34" s="27" t="s">
        <v>53</v>
      </c>
      <c r="E34" s="27">
        <f t="shared" si="2"/>
        <v>2019</v>
      </c>
      <c r="F34" s="28" t="str">
        <f t="shared" si="2"/>
        <v>Q1</v>
      </c>
      <c r="G34" s="19" t="s">
        <v>59</v>
      </c>
      <c r="H34" s="6" t="s">
        <v>93</v>
      </c>
      <c r="I34" s="6" t="s">
        <v>57</v>
      </c>
      <c r="J34" s="46">
        <v>3.8275926607633591E-2</v>
      </c>
      <c r="K34" s="19"/>
      <c r="L34" s="6"/>
      <c r="M34" s="6"/>
      <c r="N34" s="42"/>
      <c r="O34" s="35">
        <f ca="1">IF(H34="","",J34*(1/INDIRECT($H34))/INDEX('Fixed inputs'!$D$24:$D$28,MATCH($C34,'Fixed inputs'!$B$24:$B$28,0)))</f>
        <v>0.45330840226651714</v>
      </c>
      <c r="P34" s="36" t="str">
        <f ca="1">IF(L34="","",N34*(1/(INDIRECT($L34))/INDEX('Fixed inputs'!$D$24:$D$28,MATCH($C34,'Fixed inputs'!$B$24:$B$28,0))))</f>
        <v/>
      </c>
      <c r="Q34" s="40">
        <f t="shared" ca="1" si="0"/>
        <v>0.45330840226651714</v>
      </c>
      <c r="R34" s="9"/>
    </row>
    <row r="35" spans="3:18" x14ac:dyDescent="0.2">
      <c r="C35" s="26" t="s">
        <v>6</v>
      </c>
      <c r="D35" s="27" t="s">
        <v>53</v>
      </c>
      <c r="E35" s="27">
        <f t="shared" si="2"/>
        <v>2019</v>
      </c>
      <c r="F35" s="28" t="str">
        <f t="shared" si="2"/>
        <v>Q2</v>
      </c>
      <c r="G35" s="19" t="s">
        <v>59</v>
      </c>
      <c r="H35" s="6" t="s">
        <v>93</v>
      </c>
      <c r="I35" s="6" t="s">
        <v>57</v>
      </c>
      <c r="J35" s="46">
        <v>3.8275926607633591E-2</v>
      </c>
      <c r="K35" s="19"/>
      <c r="L35" s="6"/>
      <c r="M35" s="6"/>
      <c r="N35" s="42"/>
      <c r="O35" s="35">
        <f ca="1">IF(H35="","",J35*(1/INDIRECT($H35))/INDEX('Fixed inputs'!$D$24:$D$28,MATCH($C35,'Fixed inputs'!$B$24:$B$28,0)))</f>
        <v>0.45330840226651714</v>
      </c>
      <c r="P35" s="36" t="str">
        <f ca="1">IF(L35="","",N35*(1/(INDIRECT($L35))/INDEX('Fixed inputs'!$D$24:$D$28,MATCH($C35,'Fixed inputs'!$B$24:$B$28,0))))</f>
        <v/>
      </c>
      <c r="Q35" s="40">
        <f t="shared" ca="1" si="0"/>
        <v>0.45330840226651714</v>
      </c>
      <c r="R35" s="9"/>
    </row>
    <row r="36" spans="3:18" x14ac:dyDescent="0.2">
      <c r="C36" s="26" t="s">
        <v>6</v>
      </c>
      <c r="D36" s="27" t="s">
        <v>53</v>
      </c>
      <c r="E36" s="27">
        <f t="shared" si="2"/>
        <v>2019</v>
      </c>
      <c r="F36" s="28" t="str">
        <f t="shared" si="2"/>
        <v>Q3</v>
      </c>
      <c r="G36" s="19" t="s">
        <v>59</v>
      </c>
      <c r="H36" s="6" t="s">
        <v>93</v>
      </c>
      <c r="I36" s="6" t="s">
        <v>57</v>
      </c>
      <c r="J36" s="46">
        <v>3.8275926607633591E-2</v>
      </c>
      <c r="K36" s="19"/>
      <c r="L36" s="6"/>
      <c r="M36" s="6"/>
      <c r="N36" s="42"/>
      <c r="O36" s="35">
        <f ca="1">IF(H36="","",J36*(1/INDIRECT($H36))/INDEX('Fixed inputs'!$D$24:$D$28,MATCH($C36,'Fixed inputs'!$B$24:$B$28,0)))</f>
        <v>0.45330840226651714</v>
      </c>
      <c r="P36" s="36" t="str">
        <f ca="1">IF(L36="","",N36*(1/(INDIRECT($L36))/INDEX('Fixed inputs'!$D$24:$D$28,MATCH($C36,'Fixed inputs'!$B$24:$B$28,0))))</f>
        <v/>
      </c>
      <c r="Q36" s="40">
        <f t="shared" ca="1" si="0"/>
        <v>0.45330840226651714</v>
      </c>
      <c r="R36" s="9"/>
    </row>
    <row r="37" spans="3:18" x14ac:dyDescent="0.2">
      <c r="C37" s="29" t="s">
        <v>6</v>
      </c>
      <c r="D37" s="24" t="s">
        <v>53</v>
      </c>
      <c r="E37" s="24">
        <f t="shared" si="2"/>
        <v>2019</v>
      </c>
      <c r="F37" s="30" t="str">
        <f t="shared" si="2"/>
        <v>Q4</v>
      </c>
      <c r="G37" s="16" t="s">
        <v>59</v>
      </c>
      <c r="H37" s="20" t="s">
        <v>93</v>
      </c>
      <c r="I37" s="20" t="s">
        <v>57</v>
      </c>
      <c r="J37" s="47">
        <v>3.8275926607633591E-2</v>
      </c>
      <c r="K37" s="16"/>
      <c r="L37" s="20"/>
      <c r="M37" s="20"/>
      <c r="N37" s="43"/>
      <c r="O37" s="38">
        <f ca="1">IF(H37="","",J37*(1/INDIRECT($H37))/INDEX('Fixed inputs'!$D$24:$D$28,MATCH($C37,'Fixed inputs'!$B$24:$B$28,0)))</f>
        <v>0.45330840226651714</v>
      </c>
      <c r="P37" s="25" t="str">
        <f ca="1">IF(L37="","",N37*(1/(INDIRECT($L37))/INDEX('Fixed inputs'!$D$24:$D$28,MATCH($C37,'Fixed inputs'!$B$24:$B$28,0))))</f>
        <v/>
      </c>
      <c r="Q37" s="41">
        <f t="shared" ca="1" si="0"/>
        <v>0.45330840226651714</v>
      </c>
      <c r="R37" s="9"/>
    </row>
    <row r="38" spans="3:18" x14ac:dyDescent="0.2">
      <c r="C38" s="26" t="s">
        <v>6</v>
      </c>
      <c r="D38" s="27" t="s">
        <v>60</v>
      </c>
      <c r="E38" s="27">
        <f t="shared" si="2"/>
        <v>2018</v>
      </c>
      <c r="F38" s="28" t="str">
        <f t="shared" si="2"/>
        <v>Q1</v>
      </c>
      <c r="G38" s="19" t="s">
        <v>61</v>
      </c>
      <c r="H38" s="6" t="s">
        <v>93</v>
      </c>
      <c r="I38" s="6" t="s">
        <v>57</v>
      </c>
      <c r="J38" s="46">
        <v>8.9415958333333313E-3</v>
      </c>
      <c r="K38" s="19"/>
      <c r="L38" s="6"/>
      <c r="M38" s="6"/>
      <c r="N38" s="42"/>
      <c r="O38" s="62">
        <f ca="1">IF(H38="","",J38*(1/INDIRECT($H38))/INDEX('Fixed inputs'!$D$24:$D$28,MATCH($C38,'Fixed inputs'!$B$24:$B$28,0)))</f>
        <v>0.10589686207917709</v>
      </c>
      <c r="P38" s="63" t="str">
        <f ca="1">IF(L38="","",N38*(1/(INDIRECT($L38))/INDEX('Fixed inputs'!$D$24:$D$28,MATCH($C38,'Fixed inputs'!$B$24:$B$28,0))))</f>
        <v/>
      </c>
      <c r="Q38" s="66">
        <f t="shared" ca="1" si="0"/>
        <v>0.10589686207917709</v>
      </c>
      <c r="R38" s="9"/>
    </row>
    <row r="39" spans="3:18" x14ac:dyDescent="0.2">
      <c r="C39" s="26" t="s">
        <v>6</v>
      </c>
      <c r="D39" s="27" t="s">
        <v>60</v>
      </c>
      <c r="E39" s="27">
        <f t="shared" si="2"/>
        <v>2018</v>
      </c>
      <c r="F39" s="28" t="str">
        <f t="shared" si="2"/>
        <v>Q2</v>
      </c>
      <c r="G39" s="19" t="s">
        <v>61</v>
      </c>
      <c r="H39" s="6" t="s">
        <v>93</v>
      </c>
      <c r="I39" s="6" t="s">
        <v>57</v>
      </c>
      <c r="J39" s="46">
        <v>8.9415958333333313E-3</v>
      </c>
      <c r="K39" s="19"/>
      <c r="L39" s="6"/>
      <c r="M39" s="6"/>
      <c r="N39" s="42"/>
      <c r="O39" s="35">
        <f ca="1">IF(H39="","",J39*(1/INDIRECT($H39))/INDEX('Fixed inputs'!$D$24:$D$28,MATCH($C39,'Fixed inputs'!$B$24:$B$28,0)))</f>
        <v>0.10589686207917709</v>
      </c>
      <c r="P39" s="36" t="str">
        <f ca="1">IF(L39="","",N39*(1/(INDIRECT($L39))/INDEX('Fixed inputs'!$D$24:$D$28,MATCH($C39,'Fixed inputs'!$B$24:$B$28,0))))</f>
        <v/>
      </c>
      <c r="Q39" s="40">
        <f t="shared" ca="1" si="0"/>
        <v>0.10589686207917709</v>
      </c>
      <c r="R39" s="9"/>
    </row>
    <row r="40" spans="3:18" x14ac:dyDescent="0.2">
      <c r="C40" s="26" t="s">
        <v>6</v>
      </c>
      <c r="D40" s="27" t="s">
        <v>60</v>
      </c>
      <c r="E40" s="27">
        <f t="shared" si="2"/>
        <v>2018</v>
      </c>
      <c r="F40" s="28" t="str">
        <f t="shared" si="2"/>
        <v>Q3</v>
      </c>
      <c r="G40" s="19" t="s">
        <v>61</v>
      </c>
      <c r="H40" s="6" t="s">
        <v>93</v>
      </c>
      <c r="I40" s="6" t="s">
        <v>57</v>
      </c>
      <c r="J40" s="46">
        <v>8.9415958333333313E-3</v>
      </c>
      <c r="K40" s="19"/>
      <c r="L40" s="6"/>
      <c r="M40" s="6"/>
      <c r="N40" s="42"/>
      <c r="O40" s="35">
        <f ca="1">IF(H40="","",J40*(1/INDIRECT($H40))/INDEX('Fixed inputs'!$D$24:$D$28,MATCH($C40,'Fixed inputs'!$B$24:$B$28,0)))</f>
        <v>0.10589686207917709</v>
      </c>
      <c r="P40" s="36" t="str">
        <f ca="1">IF(L40="","",N40*(1/(INDIRECT($L40))/INDEX('Fixed inputs'!$D$24:$D$28,MATCH($C40,'Fixed inputs'!$B$24:$B$28,0))))</f>
        <v/>
      </c>
      <c r="Q40" s="40">
        <f t="shared" ca="1" si="0"/>
        <v>0.10589686207917709</v>
      </c>
      <c r="R40" s="9"/>
    </row>
    <row r="41" spans="3:18" x14ac:dyDescent="0.2">
      <c r="C41" s="26" t="s">
        <v>6</v>
      </c>
      <c r="D41" s="27" t="s">
        <v>60</v>
      </c>
      <c r="E41" s="27">
        <f t="shared" si="2"/>
        <v>2018</v>
      </c>
      <c r="F41" s="28" t="str">
        <f t="shared" si="2"/>
        <v>Q4</v>
      </c>
      <c r="G41" s="19" t="s">
        <v>61</v>
      </c>
      <c r="H41" s="6" t="s">
        <v>93</v>
      </c>
      <c r="I41" s="6" t="s">
        <v>57</v>
      </c>
      <c r="J41" s="46">
        <v>8.9415958333333313E-3</v>
      </c>
      <c r="K41" s="19"/>
      <c r="L41" s="6"/>
      <c r="M41" s="6"/>
      <c r="N41" s="42"/>
      <c r="O41" s="35">
        <f ca="1">IF(H41="","",J41*(1/INDIRECT($H41))/INDEX('Fixed inputs'!$D$24:$D$28,MATCH($C41,'Fixed inputs'!$B$24:$B$28,0)))</f>
        <v>0.10589686207917709</v>
      </c>
      <c r="P41" s="36" t="str">
        <f ca="1">IF(L41="","",N41*(1/(INDIRECT($L41))/INDEX('Fixed inputs'!$D$24:$D$28,MATCH($C41,'Fixed inputs'!$B$24:$B$28,0))))</f>
        <v/>
      </c>
      <c r="Q41" s="40">
        <f t="shared" ca="1" si="0"/>
        <v>0.10589686207917709</v>
      </c>
      <c r="R41" s="9"/>
    </row>
    <row r="42" spans="3:18" x14ac:dyDescent="0.2">
      <c r="C42" s="26" t="s">
        <v>6</v>
      </c>
      <c r="D42" s="27" t="s">
        <v>60</v>
      </c>
      <c r="E42" s="27">
        <f t="shared" si="2"/>
        <v>2019</v>
      </c>
      <c r="F42" s="28" t="str">
        <f t="shared" si="2"/>
        <v>Q1</v>
      </c>
      <c r="G42" s="19" t="s">
        <v>61</v>
      </c>
      <c r="H42" s="6" t="s">
        <v>93</v>
      </c>
      <c r="I42" s="6" t="s">
        <v>57</v>
      </c>
      <c r="J42" s="46">
        <v>8.9415958333333313E-3</v>
      </c>
      <c r="K42" s="19"/>
      <c r="L42" s="6"/>
      <c r="M42" s="6"/>
      <c r="N42" s="42"/>
      <c r="O42" s="35">
        <f ca="1">IF(H42="","",J42*(1/INDIRECT($H42))/INDEX('Fixed inputs'!$D$24:$D$28,MATCH($C42,'Fixed inputs'!$B$24:$B$28,0)))</f>
        <v>0.10589686207917709</v>
      </c>
      <c r="P42" s="36" t="str">
        <f ca="1">IF(L42="","",N42*(1/(INDIRECT($L42))/INDEX('Fixed inputs'!$D$24:$D$28,MATCH($C42,'Fixed inputs'!$B$24:$B$28,0))))</f>
        <v/>
      </c>
      <c r="Q42" s="40">
        <f t="shared" ca="1" si="0"/>
        <v>0.10589686207917709</v>
      </c>
      <c r="R42" s="9"/>
    </row>
    <row r="43" spans="3:18" x14ac:dyDescent="0.2">
      <c r="C43" s="26" t="s">
        <v>6</v>
      </c>
      <c r="D43" s="27" t="s">
        <v>60</v>
      </c>
      <c r="E43" s="27">
        <f t="shared" si="2"/>
        <v>2019</v>
      </c>
      <c r="F43" s="28" t="str">
        <f t="shared" si="2"/>
        <v>Q2</v>
      </c>
      <c r="G43" s="19" t="s">
        <v>61</v>
      </c>
      <c r="H43" s="6" t="s">
        <v>93</v>
      </c>
      <c r="I43" s="6" t="s">
        <v>57</v>
      </c>
      <c r="J43" s="46">
        <v>8.9415958333333313E-3</v>
      </c>
      <c r="K43" s="19"/>
      <c r="L43" s="6"/>
      <c r="M43" s="6"/>
      <c r="N43" s="42"/>
      <c r="O43" s="35">
        <f ca="1">IF(H43="","",J43*(1/INDIRECT($H43))/INDEX('Fixed inputs'!$D$24:$D$28,MATCH($C43,'Fixed inputs'!$B$24:$B$28,0)))</f>
        <v>0.10589686207917709</v>
      </c>
      <c r="P43" s="36" t="str">
        <f ca="1">IF(L43="","",N43*(1/(INDIRECT($L43))/INDEX('Fixed inputs'!$D$24:$D$28,MATCH($C43,'Fixed inputs'!$B$24:$B$28,0))))</f>
        <v/>
      </c>
      <c r="Q43" s="40">
        <f t="shared" ca="1" si="0"/>
        <v>0.10589686207917709</v>
      </c>
      <c r="R43" s="9"/>
    </row>
    <row r="44" spans="3:18" x14ac:dyDescent="0.2">
      <c r="C44" s="26" t="s">
        <v>6</v>
      </c>
      <c r="D44" s="27" t="s">
        <v>60</v>
      </c>
      <c r="E44" s="27">
        <f t="shared" si="2"/>
        <v>2019</v>
      </c>
      <c r="F44" s="28" t="str">
        <f t="shared" si="2"/>
        <v>Q3</v>
      </c>
      <c r="G44" s="19" t="s">
        <v>61</v>
      </c>
      <c r="H44" s="6" t="s">
        <v>93</v>
      </c>
      <c r="I44" s="6" t="s">
        <v>57</v>
      </c>
      <c r="J44" s="46">
        <v>8.9415958333333313E-3</v>
      </c>
      <c r="K44" s="19"/>
      <c r="L44" s="6"/>
      <c r="M44" s="6"/>
      <c r="N44" s="42"/>
      <c r="O44" s="35">
        <f ca="1">IF(H44="","",J44*(1/INDIRECT($H44))/INDEX('Fixed inputs'!$D$24:$D$28,MATCH($C44,'Fixed inputs'!$B$24:$B$28,0)))</f>
        <v>0.10589686207917709</v>
      </c>
      <c r="P44" s="36" t="str">
        <f ca="1">IF(L44="","",N44*(1/(INDIRECT($L44))/INDEX('Fixed inputs'!$D$24:$D$28,MATCH($C44,'Fixed inputs'!$B$24:$B$28,0))))</f>
        <v/>
      </c>
      <c r="Q44" s="40">
        <f t="shared" ca="1" si="0"/>
        <v>0.10589686207917709</v>
      </c>
      <c r="R44" s="9"/>
    </row>
    <row r="45" spans="3:18" x14ac:dyDescent="0.2">
      <c r="C45" s="29" t="s">
        <v>6</v>
      </c>
      <c r="D45" s="24" t="s">
        <v>60</v>
      </c>
      <c r="E45" s="24">
        <f t="shared" si="2"/>
        <v>2019</v>
      </c>
      <c r="F45" s="30" t="str">
        <f t="shared" si="2"/>
        <v>Q4</v>
      </c>
      <c r="G45" s="16" t="s">
        <v>61</v>
      </c>
      <c r="H45" s="20" t="s">
        <v>93</v>
      </c>
      <c r="I45" s="20" t="s">
        <v>57</v>
      </c>
      <c r="J45" s="47">
        <v>8.9415958333333313E-3</v>
      </c>
      <c r="K45" s="16"/>
      <c r="L45" s="20"/>
      <c r="M45" s="20"/>
      <c r="N45" s="43"/>
      <c r="O45" s="38">
        <f ca="1">IF(H45="","",J45*(1/INDIRECT($H45))/INDEX('Fixed inputs'!$D$24:$D$28,MATCH($C45,'Fixed inputs'!$B$24:$B$28,0)))</f>
        <v>0.10589686207917709</v>
      </c>
      <c r="P45" s="25" t="str">
        <f ca="1">IF(L45="","",N45*(1/(INDIRECT($L45))/INDEX('Fixed inputs'!$D$24:$D$28,MATCH($C45,'Fixed inputs'!$B$24:$B$28,0))))</f>
        <v/>
      </c>
      <c r="Q45" s="41">
        <f t="shared" ca="1" si="0"/>
        <v>0.10589686207917709</v>
      </c>
      <c r="R45" s="9"/>
    </row>
    <row r="46" spans="3:18" x14ac:dyDescent="0.2">
      <c r="C46" s="26" t="s">
        <v>9</v>
      </c>
      <c r="D46" s="27" t="s">
        <v>123</v>
      </c>
      <c r="E46" s="27">
        <f t="shared" si="2"/>
        <v>2018</v>
      </c>
      <c r="F46" s="28" t="str">
        <f t="shared" si="2"/>
        <v>Q1</v>
      </c>
      <c r="G46" s="33" t="s">
        <v>62</v>
      </c>
      <c r="H46" s="6" t="s">
        <v>94</v>
      </c>
      <c r="I46" s="6" t="s">
        <v>52</v>
      </c>
      <c r="J46" s="42">
        <v>40</v>
      </c>
      <c r="K46" s="19"/>
      <c r="L46" s="6"/>
      <c r="M46" s="6"/>
      <c r="N46" s="42"/>
      <c r="O46" s="62">
        <f ca="1">IF(H46="","",J46*(1/INDIRECT($H46))/INDEX('Fixed inputs'!$D$24:$D$28,MATCH($C46,'Fixed inputs'!$B$24:$B$28,0)))</f>
        <v>0.93305341730814095</v>
      </c>
      <c r="P46" s="63" t="str">
        <f ca="1">IF(L46="","",N46*(1/(INDIRECT($L46))/INDEX('Fixed inputs'!$D$24:$D$28,MATCH($C46,'Fixed inputs'!$B$24:$B$28,0))))</f>
        <v/>
      </c>
      <c r="Q46" s="64">
        <f t="shared" ca="1" si="0"/>
        <v>0.93305341730814095</v>
      </c>
      <c r="R46" s="9"/>
    </row>
    <row r="47" spans="3:18" x14ac:dyDescent="0.2">
      <c r="C47" s="26" t="s">
        <v>9</v>
      </c>
      <c r="D47" s="27" t="s">
        <v>123</v>
      </c>
      <c r="E47" s="27">
        <f t="shared" ref="E47:F62" si="3">E39</f>
        <v>2018</v>
      </c>
      <c r="F47" s="28" t="str">
        <f t="shared" si="3"/>
        <v>Q2</v>
      </c>
      <c r="G47" s="19" t="s">
        <v>62</v>
      </c>
      <c r="H47" s="6" t="s">
        <v>94</v>
      </c>
      <c r="I47" s="6" t="s">
        <v>52</v>
      </c>
      <c r="J47" s="42">
        <v>40</v>
      </c>
      <c r="K47" s="19"/>
      <c r="L47" s="6"/>
      <c r="M47" s="6"/>
      <c r="N47" s="42"/>
      <c r="O47" s="35">
        <f ca="1">IF(H47="","",J47*(1/INDIRECT($H47))/INDEX('Fixed inputs'!$D$24:$D$28,MATCH($C47,'Fixed inputs'!$B$24:$B$28,0)))</f>
        <v>0.93305341730814095</v>
      </c>
      <c r="P47" s="36" t="str">
        <f ca="1">IF(L47="","",N47*(1/(INDIRECT($L47))/INDEX('Fixed inputs'!$D$24:$D$28,MATCH($C47,'Fixed inputs'!$B$24:$B$28,0))))</f>
        <v/>
      </c>
      <c r="Q47" s="37">
        <f t="shared" ca="1" si="0"/>
        <v>0.93305341730814095</v>
      </c>
      <c r="R47" s="9"/>
    </row>
    <row r="48" spans="3:18" x14ac:dyDescent="0.2">
      <c r="C48" s="26" t="s">
        <v>9</v>
      </c>
      <c r="D48" s="27" t="s">
        <v>123</v>
      </c>
      <c r="E48" s="27">
        <f t="shared" si="3"/>
        <v>2018</v>
      </c>
      <c r="F48" s="28" t="str">
        <f t="shared" si="3"/>
        <v>Q3</v>
      </c>
      <c r="G48" s="19" t="s">
        <v>62</v>
      </c>
      <c r="H48" s="6" t="s">
        <v>94</v>
      </c>
      <c r="I48" s="6" t="s">
        <v>52</v>
      </c>
      <c r="J48" s="42">
        <v>40</v>
      </c>
      <c r="K48" s="19"/>
      <c r="L48" s="6"/>
      <c r="M48" s="6"/>
      <c r="N48" s="42"/>
      <c r="O48" s="35">
        <f ca="1">IF(H48="","",J48*(1/INDIRECT($H48))/INDEX('Fixed inputs'!$D$24:$D$28,MATCH($C48,'Fixed inputs'!$B$24:$B$28,0)))</f>
        <v>0.93305341730814095</v>
      </c>
      <c r="P48" s="36" t="str">
        <f ca="1">IF(L48="","",N48*(1/(INDIRECT($L48))/INDEX('Fixed inputs'!$D$24:$D$28,MATCH($C48,'Fixed inputs'!$B$24:$B$28,0))))</f>
        <v/>
      </c>
      <c r="Q48" s="37">
        <f t="shared" ca="1" si="0"/>
        <v>0.93305341730814095</v>
      </c>
      <c r="R48" s="9"/>
    </row>
    <row r="49" spans="3:18" x14ac:dyDescent="0.2">
      <c r="C49" s="26" t="s">
        <v>9</v>
      </c>
      <c r="D49" s="27" t="s">
        <v>123</v>
      </c>
      <c r="E49" s="27">
        <f t="shared" si="3"/>
        <v>2018</v>
      </c>
      <c r="F49" s="28" t="str">
        <f t="shared" si="3"/>
        <v>Q4</v>
      </c>
      <c r="G49" s="19" t="s">
        <v>62</v>
      </c>
      <c r="H49" s="6" t="s">
        <v>94</v>
      </c>
      <c r="I49" s="6" t="s">
        <v>52</v>
      </c>
      <c r="J49" s="42">
        <v>40</v>
      </c>
      <c r="K49" s="19"/>
      <c r="L49" s="6"/>
      <c r="M49" s="6"/>
      <c r="N49" s="42"/>
      <c r="O49" s="35">
        <f ca="1">IF(H49="","",J49*(1/INDIRECT($H49))/INDEX('Fixed inputs'!$D$24:$D$28,MATCH($C49,'Fixed inputs'!$B$24:$B$28,0)))</f>
        <v>0.93305341730814095</v>
      </c>
      <c r="P49" s="36" t="str">
        <f ca="1">IF(L49="","",N49*(1/(INDIRECT($L49))/INDEX('Fixed inputs'!$D$24:$D$28,MATCH($C49,'Fixed inputs'!$B$24:$B$28,0))))</f>
        <v/>
      </c>
      <c r="Q49" s="37">
        <f t="shared" ca="1" si="0"/>
        <v>0.93305341730814095</v>
      </c>
      <c r="R49" s="9"/>
    </row>
    <row r="50" spans="3:18" x14ac:dyDescent="0.2">
      <c r="C50" s="26" t="s">
        <v>9</v>
      </c>
      <c r="D50" s="27" t="s">
        <v>123</v>
      </c>
      <c r="E50" s="27">
        <f t="shared" si="3"/>
        <v>2019</v>
      </c>
      <c r="F50" s="28" t="str">
        <f t="shared" si="3"/>
        <v>Q1</v>
      </c>
      <c r="G50" s="19" t="s">
        <v>62</v>
      </c>
      <c r="H50" s="6" t="s">
        <v>94</v>
      </c>
      <c r="I50" s="6" t="s">
        <v>52</v>
      </c>
      <c r="J50" s="42">
        <v>40</v>
      </c>
      <c r="K50" s="19"/>
      <c r="L50" s="6"/>
      <c r="M50" s="6"/>
      <c r="N50" s="42"/>
      <c r="O50" s="35">
        <f ca="1">IF(H50="","",J50*(1/INDIRECT($H50))/INDEX('Fixed inputs'!$D$24:$D$28,MATCH($C50,'Fixed inputs'!$B$24:$B$28,0)))</f>
        <v>0.93305341730814095</v>
      </c>
      <c r="P50" s="36" t="str">
        <f ca="1">IF(L50="","",N50*(1/(INDIRECT($L50))/INDEX('Fixed inputs'!$D$24:$D$28,MATCH($C50,'Fixed inputs'!$B$24:$B$28,0))))</f>
        <v/>
      </c>
      <c r="Q50" s="37">
        <f t="shared" ca="1" si="0"/>
        <v>0.93305341730814095</v>
      </c>
      <c r="R50" s="9"/>
    </row>
    <row r="51" spans="3:18" x14ac:dyDescent="0.2">
      <c r="C51" s="26" t="s">
        <v>9</v>
      </c>
      <c r="D51" s="27" t="s">
        <v>123</v>
      </c>
      <c r="E51" s="27">
        <f t="shared" si="3"/>
        <v>2019</v>
      </c>
      <c r="F51" s="28" t="str">
        <f t="shared" si="3"/>
        <v>Q2</v>
      </c>
      <c r="G51" s="19" t="s">
        <v>62</v>
      </c>
      <c r="H51" s="6" t="s">
        <v>94</v>
      </c>
      <c r="I51" s="6" t="s">
        <v>52</v>
      </c>
      <c r="J51" s="42">
        <v>40</v>
      </c>
      <c r="K51" s="19"/>
      <c r="L51" s="6"/>
      <c r="M51" s="6"/>
      <c r="N51" s="42"/>
      <c r="O51" s="35">
        <f ca="1">IF(H51="","",J51*(1/INDIRECT($H51))/INDEX('Fixed inputs'!$D$24:$D$28,MATCH($C51,'Fixed inputs'!$B$24:$B$28,0)))</f>
        <v>0.93305341730814095</v>
      </c>
      <c r="P51" s="36" t="str">
        <f ca="1">IF(L51="","",N51*(1/(INDIRECT($L51))/INDEX('Fixed inputs'!$D$24:$D$28,MATCH($C51,'Fixed inputs'!$B$24:$B$28,0))))</f>
        <v/>
      </c>
      <c r="Q51" s="37">
        <f t="shared" ca="1" si="0"/>
        <v>0.93305341730814095</v>
      </c>
      <c r="R51" s="9"/>
    </row>
    <row r="52" spans="3:18" x14ac:dyDescent="0.2">
      <c r="C52" s="26" t="s">
        <v>9</v>
      </c>
      <c r="D52" s="27" t="s">
        <v>123</v>
      </c>
      <c r="E52" s="27">
        <f t="shared" si="3"/>
        <v>2019</v>
      </c>
      <c r="F52" s="28" t="str">
        <f t="shared" si="3"/>
        <v>Q3</v>
      </c>
      <c r="G52" s="19" t="s">
        <v>62</v>
      </c>
      <c r="H52" s="6" t="s">
        <v>94</v>
      </c>
      <c r="I52" s="6" t="s">
        <v>52</v>
      </c>
      <c r="J52" s="42">
        <v>40</v>
      </c>
      <c r="K52" s="19"/>
      <c r="L52" s="6"/>
      <c r="M52" s="6"/>
      <c r="N52" s="42"/>
      <c r="O52" s="35">
        <f ca="1">IF(H52="","",J52*(1/INDIRECT($H52))/INDEX('Fixed inputs'!$D$24:$D$28,MATCH($C52,'Fixed inputs'!$B$24:$B$28,0)))</f>
        <v>0.93305341730814095</v>
      </c>
      <c r="P52" s="36" t="str">
        <f ca="1">IF(L52="","",N52*(1/(INDIRECT($L52))/INDEX('Fixed inputs'!$D$24:$D$28,MATCH($C52,'Fixed inputs'!$B$24:$B$28,0))))</f>
        <v/>
      </c>
      <c r="Q52" s="37">
        <f t="shared" ca="1" si="0"/>
        <v>0.93305341730814095</v>
      </c>
      <c r="R52" s="9"/>
    </row>
    <row r="53" spans="3:18" x14ac:dyDescent="0.2">
      <c r="C53" s="29" t="s">
        <v>9</v>
      </c>
      <c r="D53" s="24" t="s">
        <v>123</v>
      </c>
      <c r="E53" s="24">
        <f t="shared" si="3"/>
        <v>2019</v>
      </c>
      <c r="F53" s="30" t="str">
        <f t="shared" si="3"/>
        <v>Q4</v>
      </c>
      <c r="G53" s="16" t="s">
        <v>62</v>
      </c>
      <c r="H53" s="20" t="s">
        <v>94</v>
      </c>
      <c r="I53" s="20" t="s">
        <v>52</v>
      </c>
      <c r="J53" s="43">
        <v>40</v>
      </c>
      <c r="K53" s="16"/>
      <c r="L53" s="20"/>
      <c r="M53" s="20"/>
      <c r="N53" s="43"/>
      <c r="O53" s="38">
        <f ca="1">IF(H53="","",J53*(1/INDIRECT($H53))/INDEX('Fixed inputs'!$D$24:$D$28,MATCH($C53,'Fixed inputs'!$B$24:$B$28,0)))</f>
        <v>0.93305341730814095</v>
      </c>
      <c r="P53" s="25" t="str">
        <f ca="1">IF(L53="","",N53*(1/(INDIRECT($L53))/INDEX('Fixed inputs'!$D$24:$D$28,MATCH($C53,'Fixed inputs'!$B$24:$B$28,0))))</f>
        <v/>
      </c>
      <c r="Q53" s="39">
        <f t="shared" ca="1" si="0"/>
        <v>0.93305341730814095</v>
      </c>
      <c r="R53" s="9"/>
    </row>
    <row r="54" spans="3:18" x14ac:dyDescent="0.2">
      <c r="C54" s="26" t="s">
        <v>9</v>
      </c>
      <c r="D54" s="27" t="s">
        <v>53</v>
      </c>
      <c r="E54" s="27">
        <f t="shared" si="3"/>
        <v>2018</v>
      </c>
      <c r="F54" s="28" t="str">
        <f t="shared" si="3"/>
        <v>Q1</v>
      </c>
      <c r="G54" s="19" t="s">
        <v>63</v>
      </c>
      <c r="H54" s="6" t="s">
        <v>92</v>
      </c>
      <c r="I54" s="6" t="s">
        <v>52</v>
      </c>
      <c r="J54" s="42">
        <v>26</v>
      </c>
      <c r="K54" s="19"/>
      <c r="L54" s="6"/>
      <c r="M54" s="6"/>
      <c r="N54" s="42"/>
      <c r="O54" s="62">
        <f ca="1">IF(H54="","",J54*(1/INDIRECT($H54))/INDEX('Fixed inputs'!$D$24:$D$28,MATCH($C54,'Fixed inputs'!$B$24:$B$28,0)))</f>
        <v>0.52027513189524888</v>
      </c>
      <c r="P54" s="63" t="str">
        <f ca="1">IF(L54="","",N54*(1/(INDIRECT($L54))/INDEX('Fixed inputs'!$D$24:$D$28,MATCH($C54,'Fixed inputs'!$B$24:$B$28,0))))</f>
        <v/>
      </c>
      <c r="Q54" s="64">
        <f t="shared" ca="1" si="0"/>
        <v>0.52027513189524888</v>
      </c>
      <c r="R54" s="9"/>
    </row>
    <row r="55" spans="3:18" x14ac:dyDescent="0.2">
      <c r="C55" s="26" t="s">
        <v>9</v>
      </c>
      <c r="D55" s="27" t="s">
        <v>53</v>
      </c>
      <c r="E55" s="27">
        <f t="shared" si="3"/>
        <v>2018</v>
      </c>
      <c r="F55" s="28" t="str">
        <f t="shared" si="3"/>
        <v>Q2</v>
      </c>
      <c r="G55" s="19" t="s">
        <v>63</v>
      </c>
      <c r="H55" s="6" t="s">
        <v>92</v>
      </c>
      <c r="I55" s="6" t="s">
        <v>52</v>
      </c>
      <c r="J55" s="42">
        <v>26</v>
      </c>
      <c r="K55" s="19"/>
      <c r="L55" s="6"/>
      <c r="M55" s="6"/>
      <c r="N55" s="42"/>
      <c r="O55" s="35">
        <f ca="1">IF(H55="","",J55*(1/INDIRECT($H55))/INDEX('Fixed inputs'!$D$24:$D$28,MATCH($C55,'Fixed inputs'!$B$24:$B$28,0)))</f>
        <v>0.52027513189524888</v>
      </c>
      <c r="P55" s="36" t="str">
        <f ca="1">IF(L55="","",N55*(1/(INDIRECT($L55))/INDEX('Fixed inputs'!$D$24:$D$28,MATCH($C55,'Fixed inputs'!$B$24:$B$28,0))))</f>
        <v/>
      </c>
      <c r="Q55" s="37">
        <f t="shared" ca="1" si="0"/>
        <v>0.52027513189524888</v>
      </c>
      <c r="R55" s="9"/>
    </row>
    <row r="56" spans="3:18" x14ac:dyDescent="0.2">
      <c r="C56" s="26" t="s">
        <v>9</v>
      </c>
      <c r="D56" s="27" t="s">
        <v>53</v>
      </c>
      <c r="E56" s="27">
        <f t="shared" si="3"/>
        <v>2018</v>
      </c>
      <c r="F56" s="28" t="str">
        <f t="shared" si="3"/>
        <v>Q3</v>
      </c>
      <c r="G56" s="19" t="s">
        <v>63</v>
      </c>
      <c r="H56" s="6" t="s">
        <v>92</v>
      </c>
      <c r="I56" s="6" t="s">
        <v>52</v>
      </c>
      <c r="J56" s="42">
        <v>26</v>
      </c>
      <c r="K56" s="19"/>
      <c r="L56" s="6"/>
      <c r="M56" s="6"/>
      <c r="N56" s="42"/>
      <c r="O56" s="35">
        <f ca="1">IF(H56="","",J56*(1/INDIRECT($H56))/INDEX('Fixed inputs'!$D$24:$D$28,MATCH($C56,'Fixed inputs'!$B$24:$B$28,0)))</f>
        <v>0.52027513189524888</v>
      </c>
      <c r="P56" s="36" t="str">
        <f ca="1">IF(L56="","",N56*(1/(INDIRECT($L56))/INDEX('Fixed inputs'!$D$24:$D$28,MATCH($C56,'Fixed inputs'!$B$24:$B$28,0))))</f>
        <v/>
      </c>
      <c r="Q56" s="37">
        <f t="shared" ca="1" si="0"/>
        <v>0.52027513189524888</v>
      </c>
      <c r="R56" s="9"/>
    </row>
    <row r="57" spans="3:18" x14ac:dyDescent="0.2">
      <c r="C57" s="26" t="s">
        <v>9</v>
      </c>
      <c r="D57" s="27" t="s">
        <v>53</v>
      </c>
      <c r="E57" s="27">
        <f t="shared" si="3"/>
        <v>2018</v>
      </c>
      <c r="F57" s="28" t="str">
        <f t="shared" si="3"/>
        <v>Q4</v>
      </c>
      <c r="G57" s="19" t="s">
        <v>63</v>
      </c>
      <c r="H57" s="6" t="s">
        <v>92</v>
      </c>
      <c r="I57" s="6" t="s">
        <v>52</v>
      </c>
      <c r="J57" s="42">
        <v>26</v>
      </c>
      <c r="K57" s="19"/>
      <c r="L57" s="6"/>
      <c r="M57" s="6"/>
      <c r="N57" s="42"/>
      <c r="O57" s="35">
        <f ca="1">IF(H57="","",J57*(1/INDIRECT($H57))/INDEX('Fixed inputs'!$D$24:$D$28,MATCH($C57,'Fixed inputs'!$B$24:$B$28,0)))</f>
        <v>0.52027513189524888</v>
      </c>
      <c r="P57" s="36" t="str">
        <f ca="1">IF(L57="","",N57*(1/(INDIRECT($L57))/INDEX('Fixed inputs'!$D$24:$D$28,MATCH($C57,'Fixed inputs'!$B$24:$B$28,0))))</f>
        <v/>
      </c>
      <c r="Q57" s="37">
        <f t="shared" ca="1" si="0"/>
        <v>0.52027513189524888</v>
      </c>
      <c r="R57" s="9"/>
    </row>
    <row r="58" spans="3:18" x14ac:dyDescent="0.2">
      <c r="C58" s="26" t="s">
        <v>9</v>
      </c>
      <c r="D58" s="27" t="s">
        <v>53</v>
      </c>
      <c r="E58" s="27">
        <f t="shared" si="3"/>
        <v>2019</v>
      </c>
      <c r="F58" s="28" t="str">
        <f t="shared" si="3"/>
        <v>Q1</v>
      </c>
      <c r="G58" s="19" t="s">
        <v>63</v>
      </c>
      <c r="H58" s="6" t="s">
        <v>92</v>
      </c>
      <c r="I58" s="6" t="s">
        <v>52</v>
      </c>
      <c r="J58" s="42">
        <v>26</v>
      </c>
      <c r="K58" s="19"/>
      <c r="L58" s="6"/>
      <c r="M58" s="6"/>
      <c r="N58" s="42"/>
      <c r="O58" s="35">
        <f ca="1">IF(H58="","",J58*(1/INDIRECT($H58))/INDEX('Fixed inputs'!$D$24:$D$28,MATCH($C58,'Fixed inputs'!$B$24:$B$28,0)))</f>
        <v>0.52027513189524888</v>
      </c>
      <c r="P58" s="36" t="str">
        <f ca="1">IF(L58="","",N58*(1/(INDIRECT($L58))/INDEX('Fixed inputs'!$D$24:$D$28,MATCH($C58,'Fixed inputs'!$B$24:$B$28,0))))</f>
        <v/>
      </c>
      <c r="Q58" s="37">
        <f t="shared" ca="1" si="0"/>
        <v>0.52027513189524888</v>
      </c>
      <c r="R58" s="9"/>
    </row>
    <row r="59" spans="3:18" x14ac:dyDescent="0.2">
      <c r="C59" s="26" t="s">
        <v>9</v>
      </c>
      <c r="D59" s="27" t="s">
        <v>53</v>
      </c>
      <c r="E59" s="27">
        <f t="shared" si="3"/>
        <v>2019</v>
      </c>
      <c r="F59" s="28" t="str">
        <f t="shared" si="3"/>
        <v>Q2</v>
      </c>
      <c r="G59" s="19" t="s">
        <v>63</v>
      </c>
      <c r="H59" s="6" t="s">
        <v>92</v>
      </c>
      <c r="I59" s="6" t="s">
        <v>52</v>
      </c>
      <c r="J59" s="42">
        <v>26</v>
      </c>
      <c r="K59" s="19"/>
      <c r="L59" s="6"/>
      <c r="M59" s="6"/>
      <c r="N59" s="42"/>
      <c r="O59" s="35">
        <f ca="1">IF(H59="","",J59*(1/INDIRECT($H59))/INDEX('Fixed inputs'!$D$24:$D$28,MATCH($C59,'Fixed inputs'!$B$24:$B$28,0)))</f>
        <v>0.52027513189524888</v>
      </c>
      <c r="P59" s="36" t="str">
        <f ca="1">IF(L59="","",N59*(1/(INDIRECT($L59))/INDEX('Fixed inputs'!$D$24:$D$28,MATCH($C59,'Fixed inputs'!$B$24:$B$28,0))))</f>
        <v/>
      </c>
      <c r="Q59" s="37">
        <f t="shared" ca="1" si="0"/>
        <v>0.52027513189524888</v>
      </c>
      <c r="R59" s="9"/>
    </row>
    <row r="60" spans="3:18" x14ac:dyDescent="0.2">
      <c r="C60" s="26" t="s">
        <v>9</v>
      </c>
      <c r="D60" s="27" t="s">
        <v>53</v>
      </c>
      <c r="E60" s="27">
        <f t="shared" si="3"/>
        <v>2019</v>
      </c>
      <c r="F60" s="28" t="str">
        <f t="shared" si="3"/>
        <v>Q3</v>
      </c>
      <c r="G60" s="19" t="s">
        <v>63</v>
      </c>
      <c r="H60" s="6" t="s">
        <v>92</v>
      </c>
      <c r="I60" s="6" t="s">
        <v>52</v>
      </c>
      <c r="J60" s="42">
        <v>26</v>
      </c>
      <c r="K60" s="19"/>
      <c r="L60" s="6"/>
      <c r="M60" s="6"/>
      <c r="N60" s="42"/>
      <c r="O60" s="35">
        <f ca="1">IF(H60="","",J60*(1/INDIRECT($H60))/INDEX('Fixed inputs'!$D$24:$D$28,MATCH($C60,'Fixed inputs'!$B$24:$B$28,0)))</f>
        <v>0.52027513189524888</v>
      </c>
      <c r="P60" s="36" t="str">
        <f ca="1">IF(L60="","",N60*(1/(INDIRECT($L60))/INDEX('Fixed inputs'!$D$24:$D$28,MATCH($C60,'Fixed inputs'!$B$24:$B$28,0))))</f>
        <v/>
      </c>
      <c r="Q60" s="37">
        <f t="shared" ca="1" si="0"/>
        <v>0.52027513189524888</v>
      </c>
      <c r="R60" s="9"/>
    </row>
    <row r="61" spans="3:18" x14ac:dyDescent="0.2">
      <c r="C61" s="29" t="s">
        <v>9</v>
      </c>
      <c r="D61" s="24" t="s">
        <v>53</v>
      </c>
      <c r="E61" s="24">
        <f t="shared" si="3"/>
        <v>2019</v>
      </c>
      <c r="F61" s="30" t="str">
        <f t="shared" si="3"/>
        <v>Q4</v>
      </c>
      <c r="G61" s="16" t="s">
        <v>63</v>
      </c>
      <c r="H61" s="20" t="s">
        <v>92</v>
      </c>
      <c r="I61" s="20" t="s">
        <v>52</v>
      </c>
      <c r="J61" s="43">
        <v>26</v>
      </c>
      <c r="K61" s="16"/>
      <c r="L61" s="20"/>
      <c r="M61" s="20"/>
      <c r="N61" s="43"/>
      <c r="O61" s="38">
        <f ca="1">IF(H61="","",J61*(1/INDIRECT($H61))/INDEX('Fixed inputs'!$D$24:$D$28,MATCH($C61,'Fixed inputs'!$B$24:$B$28,0)))</f>
        <v>0.52027513189524888</v>
      </c>
      <c r="P61" s="25" t="str">
        <f ca="1">IF(L61="","",N61*(1/(INDIRECT($L61))/INDEX('Fixed inputs'!$D$24:$D$28,MATCH($C61,'Fixed inputs'!$B$24:$B$28,0))))</f>
        <v/>
      </c>
      <c r="Q61" s="39">
        <f t="shared" ca="1" si="0"/>
        <v>0.52027513189524888</v>
      </c>
      <c r="R61" s="9"/>
    </row>
    <row r="62" spans="3:18" x14ac:dyDescent="0.2">
      <c r="C62" s="26" t="s">
        <v>8</v>
      </c>
      <c r="D62" s="27" t="s">
        <v>123</v>
      </c>
      <c r="E62" s="27">
        <f t="shared" si="3"/>
        <v>2018</v>
      </c>
      <c r="F62" s="28" t="str">
        <f t="shared" si="3"/>
        <v>Q1</v>
      </c>
      <c r="G62" s="33" t="s">
        <v>64</v>
      </c>
      <c r="H62" s="6" t="s">
        <v>94</v>
      </c>
      <c r="I62" s="6" t="s">
        <v>52</v>
      </c>
      <c r="J62" s="42">
        <v>45</v>
      </c>
      <c r="K62" s="33"/>
      <c r="L62" s="6"/>
      <c r="M62" s="6"/>
      <c r="N62" s="42"/>
      <c r="O62" s="62">
        <f ca="1">IF(H62="","",J62*(1/INDIRECT($H62))/INDEX('Fixed inputs'!$D$24:$D$28,MATCH($C62,'Fixed inputs'!$B$24:$B$28,0)))</f>
        <v>1.1111111111111112</v>
      </c>
      <c r="P62" s="63" t="str">
        <f ca="1">IF(L62="","",N62*(1/(INDIRECT($L62))/INDEX('Fixed inputs'!$D$24:$D$28,MATCH($C62,'Fixed inputs'!$B$24:$B$28,0))))</f>
        <v/>
      </c>
      <c r="Q62" s="64">
        <f t="shared" ca="1" si="0"/>
        <v>1.1111111111111112</v>
      </c>
      <c r="R62" s="9"/>
    </row>
    <row r="63" spans="3:18" x14ac:dyDescent="0.2">
      <c r="C63" s="26" t="s">
        <v>8</v>
      </c>
      <c r="D63" s="27" t="s">
        <v>123</v>
      </c>
      <c r="E63" s="27">
        <f t="shared" ref="E63:F78" si="4">E55</f>
        <v>2018</v>
      </c>
      <c r="F63" s="28" t="str">
        <f t="shared" si="4"/>
        <v>Q2</v>
      </c>
      <c r="G63" s="33" t="s">
        <v>64</v>
      </c>
      <c r="H63" s="6" t="s">
        <v>94</v>
      </c>
      <c r="I63" s="6" t="s">
        <v>52</v>
      </c>
      <c r="J63" s="42">
        <v>45</v>
      </c>
      <c r="K63" s="33"/>
      <c r="L63" s="6"/>
      <c r="M63" s="6"/>
      <c r="N63" s="42"/>
      <c r="O63" s="35">
        <f ca="1">IF(H63="","",J63*(1/INDIRECT($H63))/INDEX('Fixed inputs'!$D$24:$D$28,MATCH($C63,'Fixed inputs'!$B$24:$B$28,0)))</f>
        <v>1.1111111111111112</v>
      </c>
      <c r="P63" s="36" t="str">
        <f ca="1">IF(L63="","",N63*(1/(INDIRECT($L63))/INDEX('Fixed inputs'!$D$24:$D$28,MATCH($C63,'Fixed inputs'!$B$24:$B$28,0))))</f>
        <v/>
      </c>
      <c r="Q63" s="37">
        <f t="shared" ca="1" si="0"/>
        <v>1.1111111111111112</v>
      </c>
      <c r="R63" s="9"/>
    </row>
    <row r="64" spans="3:18" x14ac:dyDescent="0.2">
      <c r="C64" s="26" t="s">
        <v>8</v>
      </c>
      <c r="D64" s="27" t="s">
        <v>123</v>
      </c>
      <c r="E64" s="27">
        <f t="shared" si="4"/>
        <v>2018</v>
      </c>
      <c r="F64" s="28" t="str">
        <f t="shared" si="4"/>
        <v>Q3</v>
      </c>
      <c r="G64" s="33" t="s">
        <v>64</v>
      </c>
      <c r="H64" s="6" t="s">
        <v>94</v>
      </c>
      <c r="I64" s="6" t="s">
        <v>52</v>
      </c>
      <c r="J64" s="42">
        <v>45</v>
      </c>
      <c r="K64" s="33"/>
      <c r="L64" s="6"/>
      <c r="M64" s="6"/>
      <c r="N64" s="42"/>
      <c r="O64" s="35">
        <f ca="1">IF(H64="","",J64*(1/INDIRECT($H64))/INDEX('Fixed inputs'!$D$24:$D$28,MATCH($C64,'Fixed inputs'!$B$24:$B$28,0)))</f>
        <v>1.1111111111111112</v>
      </c>
      <c r="P64" s="36" t="str">
        <f ca="1">IF(L64="","",N64*(1/(INDIRECT($L64))/INDEX('Fixed inputs'!$D$24:$D$28,MATCH($C64,'Fixed inputs'!$B$24:$B$28,0))))</f>
        <v/>
      </c>
      <c r="Q64" s="37">
        <f t="shared" ca="1" si="0"/>
        <v>1.1111111111111112</v>
      </c>
      <c r="R64" s="9"/>
    </row>
    <row r="65" spans="3:18" x14ac:dyDescent="0.2">
      <c r="C65" s="26" t="s">
        <v>8</v>
      </c>
      <c r="D65" s="27" t="s">
        <v>123</v>
      </c>
      <c r="E65" s="27">
        <f t="shared" si="4"/>
        <v>2018</v>
      </c>
      <c r="F65" s="28" t="str">
        <f t="shared" si="4"/>
        <v>Q4</v>
      </c>
      <c r="G65" s="33" t="s">
        <v>64</v>
      </c>
      <c r="H65" s="6" t="s">
        <v>94</v>
      </c>
      <c r="I65" s="6" t="s">
        <v>52</v>
      </c>
      <c r="J65" s="42">
        <v>45</v>
      </c>
      <c r="K65" s="33"/>
      <c r="L65" s="6"/>
      <c r="M65" s="6"/>
      <c r="N65" s="42"/>
      <c r="O65" s="35">
        <f ca="1">IF(H65="","",J65*(1/INDIRECT($H65))/INDEX('Fixed inputs'!$D$24:$D$28,MATCH($C65,'Fixed inputs'!$B$24:$B$28,0)))</f>
        <v>1.1111111111111112</v>
      </c>
      <c r="P65" s="36" t="str">
        <f ca="1">IF(L65="","",N65*(1/(INDIRECT($L65))/INDEX('Fixed inputs'!$D$24:$D$28,MATCH($C65,'Fixed inputs'!$B$24:$B$28,0))))</f>
        <v/>
      </c>
      <c r="Q65" s="37">
        <f t="shared" ca="1" si="0"/>
        <v>1.1111111111111112</v>
      </c>
      <c r="R65" s="9"/>
    </row>
    <row r="66" spans="3:18" x14ac:dyDescent="0.2">
      <c r="C66" s="26" t="s">
        <v>8</v>
      </c>
      <c r="D66" s="27" t="s">
        <v>123</v>
      </c>
      <c r="E66" s="27">
        <f t="shared" si="4"/>
        <v>2019</v>
      </c>
      <c r="F66" s="28" t="str">
        <f t="shared" si="4"/>
        <v>Q1</v>
      </c>
      <c r="G66" s="33" t="s">
        <v>64</v>
      </c>
      <c r="H66" s="6" t="s">
        <v>94</v>
      </c>
      <c r="I66" s="6" t="s">
        <v>52</v>
      </c>
      <c r="J66" s="42">
        <v>45</v>
      </c>
      <c r="K66" s="33"/>
      <c r="L66" s="6"/>
      <c r="M66" s="6"/>
      <c r="N66" s="42"/>
      <c r="O66" s="35">
        <f ca="1">IF(H66="","",J66*(1/INDIRECT($H66))/INDEX('Fixed inputs'!$D$24:$D$28,MATCH($C66,'Fixed inputs'!$B$24:$B$28,0)))</f>
        <v>1.1111111111111112</v>
      </c>
      <c r="P66" s="36" t="str">
        <f ca="1">IF(L66="","",N66*(1/(INDIRECT($L66))/INDEX('Fixed inputs'!$D$24:$D$28,MATCH($C66,'Fixed inputs'!$B$24:$B$28,0))))</f>
        <v/>
      </c>
      <c r="Q66" s="37">
        <f t="shared" ca="1" si="0"/>
        <v>1.1111111111111112</v>
      </c>
      <c r="R66" s="9"/>
    </row>
    <row r="67" spans="3:18" x14ac:dyDescent="0.2">
      <c r="C67" s="26" t="s">
        <v>8</v>
      </c>
      <c r="D67" s="27" t="s">
        <v>123</v>
      </c>
      <c r="E67" s="27">
        <f t="shared" si="4"/>
        <v>2019</v>
      </c>
      <c r="F67" s="28" t="str">
        <f t="shared" si="4"/>
        <v>Q2</v>
      </c>
      <c r="G67" s="33" t="s">
        <v>64</v>
      </c>
      <c r="H67" s="6" t="s">
        <v>94</v>
      </c>
      <c r="I67" s="6" t="s">
        <v>52</v>
      </c>
      <c r="J67" s="42">
        <v>45</v>
      </c>
      <c r="K67" s="33"/>
      <c r="L67" s="6"/>
      <c r="M67" s="6"/>
      <c r="N67" s="42"/>
      <c r="O67" s="35">
        <f ca="1">IF(H67="","",J67*(1/INDIRECT($H67))/INDEX('Fixed inputs'!$D$24:$D$28,MATCH($C67,'Fixed inputs'!$B$24:$B$28,0)))</f>
        <v>1.1111111111111112</v>
      </c>
      <c r="P67" s="36" t="str">
        <f ca="1">IF(L67="","",N67*(1/(INDIRECT($L67))/INDEX('Fixed inputs'!$D$24:$D$28,MATCH($C67,'Fixed inputs'!$B$24:$B$28,0))))</f>
        <v/>
      </c>
      <c r="Q67" s="37">
        <f t="shared" ca="1" si="0"/>
        <v>1.1111111111111112</v>
      </c>
      <c r="R67" s="9"/>
    </row>
    <row r="68" spans="3:18" x14ac:dyDescent="0.2">
      <c r="C68" s="26" t="s">
        <v>8</v>
      </c>
      <c r="D68" s="27" t="s">
        <v>123</v>
      </c>
      <c r="E68" s="27">
        <f t="shared" si="4"/>
        <v>2019</v>
      </c>
      <c r="F68" s="28" t="str">
        <f t="shared" si="4"/>
        <v>Q3</v>
      </c>
      <c r="G68" s="33" t="s">
        <v>64</v>
      </c>
      <c r="H68" s="6" t="s">
        <v>94</v>
      </c>
      <c r="I68" s="6" t="s">
        <v>52</v>
      </c>
      <c r="J68" s="42">
        <v>45</v>
      </c>
      <c r="K68" s="33"/>
      <c r="L68" s="6"/>
      <c r="M68" s="6"/>
      <c r="N68" s="42"/>
      <c r="O68" s="35">
        <f ca="1">IF(H68="","",J68*(1/INDIRECT($H68))/INDEX('Fixed inputs'!$D$24:$D$28,MATCH($C68,'Fixed inputs'!$B$24:$B$28,0)))</f>
        <v>1.1111111111111112</v>
      </c>
      <c r="P68" s="36" t="str">
        <f ca="1">IF(L68="","",N68*(1/(INDIRECT($L68))/INDEX('Fixed inputs'!$D$24:$D$28,MATCH($C68,'Fixed inputs'!$B$24:$B$28,0))))</f>
        <v/>
      </c>
      <c r="Q68" s="37">
        <f t="shared" ca="1" si="0"/>
        <v>1.1111111111111112</v>
      </c>
      <c r="R68" s="9"/>
    </row>
    <row r="69" spans="3:18" x14ac:dyDescent="0.2">
      <c r="C69" s="29" t="s">
        <v>8</v>
      </c>
      <c r="D69" s="24" t="s">
        <v>123</v>
      </c>
      <c r="E69" s="24">
        <f t="shared" si="4"/>
        <v>2019</v>
      </c>
      <c r="F69" s="30" t="str">
        <f t="shared" si="4"/>
        <v>Q4</v>
      </c>
      <c r="G69" s="34" t="s">
        <v>64</v>
      </c>
      <c r="H69" s="20" t="s">
        <v>94</v>
      </c>
      <c r="I69" s="20" t="s">
        <v>52</v>
      </c>
      <c r="J69" s="43">
        <v>45</v>
      </c>
      <c r="K69" s="34"/>
      <c r="L69" s="20"/>
      <c r="M69" s="20"/>
      <c r="N69" s="43"/>
      <c r="O69" s="38">
        <f ca="1">IF(H69="","",J69*(1/INDIRECT($H69))/INDEX('Fixed inputs'!$D$24:$D$28,MATCH($C69,'Fixed inputs'!$B$24:$B$28,0)))</f>
        <v>1.1111111111111112</v>
      </c>
      <c r="P69" s="25" t="str">
        <f ca="1">IF(L69="","",N69*(1/(INDIRECT($L69))/INDEX('Fixed inputs'!$D$24:$D$28,MATCH($C69,'Fixed inputs'!$B$24:$B$28,0))))</f>
        <v/>
      </c>
      <c r="Q69" s="39">
        <f t="shared" ca="1" si="0"/>
        <v>1.1111111111111112</v>
      </c>
      <c r="R69" s="9"/>
    </row>
    <row r="70" spans="3:18" x14ac:dyDescent="0.2">
      <c r="C70" s="26" t="s">
        <v>8</v>
      </c>
      <c r="D70" s="27" t="s">
        <v>53</v>
      </c>
      <c r="E70" s="27">
        <f t="shared" si="4"/>
        <v>2018</v>
      </c>
      <c r="F70" s="28" t="str">
        <f t="shared" si="4"/>
        <v>Q1</v>
      </c>
      <c r="G70" s="19" t="s">
        <v>65</v>
      </c>
      <c r="H70" s="6" t="s">
        <v>92</v>
      </c>
      <c r="I70" s="6" t="s">
        <v>52</v>
      </c>
      <c r="J70" s="42">
        <v>6</v>
      </c>
      <c r="K70" s="19" t="s">
        <v>66</v>
      </c>
      <c r="L70" s="6" t="s">
        <v>92</v>
      </c>
      <c r="M70" s="6" t="s">
        <v>52</v>
      </c>
      <c r="N70" s="42">
        <v>12</v>
      </c>
      <c r="O70" s="62">
        <f ca="1">IF(H70="","",J70*(1/INDIRECT($H70))/INDEX('Fixed inputs'!$D$24:$D$28,MATCH($C70,'Fixed inputs'!$B$24:$B$28,0)))</f>
        <v>0.12708942965441208</v>
      </c>
      <c r="P70" s="63">
        <f ca="1">IF(L70="","",N70*(1/(INDIRECT($L70))/INDEX('Fixed inputs'!$D$24:$D$28,MATCH($C70,'Fixed inputs'!$B$24:$B$28,0))))</f>
        <v>0.25417885930882417</v>
      </c>
      <c r="Q70" s="64">
        <f t="shared" ref="Q70:Q85" ca="1" si="5">SUM(O70,P70)</f>
        <v>0.38126828896323628</v>
      </c>
      <c r="R70" s="9"/>
    </row>
    <row r="71" spans="3:18" x14ac:dyDescent="0.2">
      <c r="C71" s="26" t="s">
        <v>8</v>
      </c>
      <c r="D71" s="27" t="s">
        <v>53</v>
      </c>
      <c r="E71" s="27">
        <f t="shared" si="4"/>
        <v>2018</v>
      </c>
      <c r="F71" s="28" t="str">
        <f t="shared" si="4"/>
        <v>Q2</v>
      </c>
      <c r="G71" s="19" t="s">
        <v>65</v>
      </c>
      <c r="H71" s="6" t="s">
        <v>92</v>
      </c>
      <c r="I71" s="6" t="s">
        <v>52</v>
      </c>
      <c r="J71" s="42">
        <v>6</v>
      </c>
      <c r="K71" s="19" t="s">
        <v>66</v>
      </c>
      <c r="L71" s="6" t="s">
        <v>92</v>
      </c>
      <c r="M71" s="6" t="s">
        <v>52</v>
      </c>
      <c r="N71" s="42">
        <v>12</v>
      </c>
      <c r="O71" s="35">
        <f ca="1">IF(H71="","",J71*(1/INDIRECT($H71))/INDEX('Fixed inputs'!$D$24:$D$28,MATCH($C71,'Fixed inputs'!$B$24:$B$28,0)))</f>
        <v>0.12708942965441208</v>
      </c>
      <c r="P71" s="36">
        <f ca="1">IF(L71="","",N71*(1/(INDIRECT($L71))/INDEX('Fixed inputs'!$D$24:$D$28,MATCH($C71,'Fixed inputs'!$B$24:$B$28,0))))</f>
        <v>0.25417885930882417</v>
      </c>
      <c r="Q71" s="37">
        <f t="shared" ca="1" si="5"/>
        <v>0.38126828896323628</v>
      </c>
      <c r="R71" s="9"/>
    </row>
    <row r="72" spans="3:18" x14ac:dyDescent="0.2">
      <c r="C72" s="26" t="s">
        <v>8</v>
      </c>
      <c r="D72" s="27" t="s">
        <v>53</v>
      </c>
      <c r="E72" s="27">
        <f t="shared" si="4"/>
        <v>2018</v>
      </c>
      <c r="F72" s="28" t="str">
        <f t="shared" si="4"/>
        <v>Q3</v>
      </c>
      <c r="G72" s="19" t="s">
        <v>65</v>
      </c>
      <c r="H72" s="6" t="s">
        <v>92</v>
      </c>
      <c r="I72" s="6" t="s">
        <v>52</v>
      </c>
      <c r="J72" s="42">
        <v>6</v>
      </c>
      <c r="K72" s="19" t="s">
        <v>66</v>
      </c>
      <c r="L72" s="6" t="s">
        <v>92</v>
      </c>
      <c r="M72" s="6" t="s">
        <v>52</v>
      </c>
      <c r="N72" s="42">
        <v>12</v>
      </c>
      <c r="O72" s="35">
        <f ca="1">IF(H72="","",J72*(1/INDIRECT($H72))/INDEX('Fixed inputs'!$D$24:$D$28,MATCH($C72,'Fixed inputs'!$B$24:$B$28,0)))</f>
        <v>0.12708942965441208</v>
      </c>
      <c r="P72" s="36">
        <f ca="1">IF(L72="","",N72*(1/(INDIRECT($L72))/INDEX('Fixed inputs'!$D$24:$D$28,MATCH($C72,'Fixed inputs'!$B$24:$B$28,0))))</f>
        <v>0.25417885930882417</v>
      </c>
      <c r="Q72" s="37">
        <f t="shared" ca="1" si="5"/>
        <v>0.38126828896323628</v>
      </c>
      <c r="R72" s="9"/>
    </row>
    <row r="73" spans="3:18" x14ac:dyDescent="0.2">
      <c r="C73" s="26" t="s">
        <v>8</v>
      </c>
      <c r="D73" s="27" t="s">
        <v>53</v>
      </c>
      <c r="E73" s="27">
        <f t="shared" si="4"/>
        <v>2018</v>
      </c>
      <c r="F73" s="28" t="str">
        <f t="shared" si="4"/>
        <v>Q4</v>
      </c>
      <c r="G73" s="19" t="s">
        <v>65</v>
      </c>
      <c r="H73" s="6" t="s">
        <v>92</v>
      </c>
      <c r="I73" s="6" t="s">
        <v>52</v>
      </c>
      <c r="J73" s="42">
        <v>6</v>
      </c>
      <c r="K73" s="19" t="s">
        <v>66</v>
      </c>
      <c r="L73" s="6" t="s">
        <v>92</v>
      </c>
      <c r="M73" s="6" t="s">
        <v>52</v>
      </c>
      <c r="N73" s="42">
        <v>12</v>
      </c>
      <c r="O73" s="35">
        <f ca="1">IF(H73="","",J73*(1/INDIRECT($H73))/INDEX('Fixed inputs'!$D$24:$D$28,MATCH($C73,'Fixed inputs'!$B$24:$B$28,0)))</f>
        <v>0.12708942965441208</v>
      </c>
      <c r="P73" s="36">
        <f ca="1">IF(L73="","",N73*(1/(INDIRECT($L73))/INDEX('Fixed inputs'!$D$24:$D$28,MATCH($C73,'Fixed inputs'!$B$24:$B$28,0))))</f>
        <v>0.25417885930882417</v>
      </c>
      <c r="Q73" s="37">
        <f t="shared" ca="1" si="5"/>
        <v>0.38126828896323628</v>
      </c>
      <c r="R73" s="9"/>
    </row>
    <row r="74" spans="3:18" x14ac:dyDescent="0.2">
      <c r="C74" s="26" t="s">
        <v>8</v>
      </c>
      <c r="D74" s="27" t="s">
        <v>53</v>
      </c>
      <c r="E74" s="27">
        <f t="shared" si="4"/>
        <v>2019</v>
      </c>
      <c r="F74" s="28" t="str">
        <f t="shared" si="4"/>
        <v>Q1</v>
      </c>
      <c r="G74" s="19" t="s">
        <v>65</v>
      </c>
      <c r="H74" s="6" t="s">
        <v>92</v>
      </c>
      <c r="I74" s="6" t="s">
        <v>52</v>
      </c>
      <c r="J74" s="42">
        <v>6</v>
      </c>
      <c r="K74" s="19" t="s">
        <v>66</v>
      </c>
      <c r="L74" s="6" t="s">
        <v>92</v>
      </c>
      <c r="M74" s="6" t="s">
        <v>52</v>
      </c>
      <c r="N74" s="42">
        <v>12</v>
      </c>
      <c r="O74" s="35">
        <f ca="1">IF(H74="","",J74*(1/INDIRECT($H74))/INDEX('Fixed inputs'!$D$24:$D$28,MATCH($C74,'Fixed inputs'!$B$24:$B$28,0)))</f>
        <v>0.12708942965441208</v>
      </c>
      <c r="P74" s="36">
        <f ca="1">IF(L74="","",N74*(1/(INDIRECT($L74))/INDEX('Fixed inputs'!$D$24:$D$28,MATCH($C74,'Fixed inputs'!$B$24:$B$28,0))))</f>
        <v>0.25417885930882417</v>
      </c>
      <c r="Q74" s="37">
        <f t="shared" ca="1" si="5"/>
        <v>0.38126828896323628</v>
      </c>
      <c r="R74" s="9"/>
    </row>
    <row r="75" spans="3:18" x14ac:dyDescent="0.2">
      <c r="C75" s="26" t="s">
        <v>8</v>
      </c>
      <c r="D75" s="27" t="s">
        <v>53</v>
      </c>
      <c r="E75" s="27">
        <f t="shared" si="4"/>
        <v>2019</v>
      </c>
      <c r="F75" s="28" t="str">
        <f t="shared" si="4"/>
        <v>Q2</v>
      </c>
      <c r="G75" s="19" t="s">
        <v>65</v>
      </c>
      <c r="H75" s="6" t="s">
        <v>92</v>
      </c>
      <c r="I75" s="6" t="s">
        <v>52</v>
      </c>
      <c r="J75" s="42">
        <v>6</v>
      </c>
      <c r="K75" s="19" t="s">
        <v>66</v>
      </c>
      <c r="L75" s="6" t="s">
        <v>92</v>
      </c>
      <c r="M75" s="6" t="s">
        <v>52</v>
      </c>
      <c r="N75" s="42">
        <v>12</v>
      </c>
      <c r="O75" s="35">
        <f ca="1">IF(H75="","",J75*(1/INDIRECT($H75))/INDEX('Fixed inputs'!$D$24:$D$28,MATCH($C75,'Fixed inputs'!$B$24:$B$28,0)))</f>
        <v>0.12708942965441208</v>
      </c>
      <c r="P75" s="36">
        <f ca="1">IF(L75="","",N75*(1/(INDIRECT($L75))/INDEX('Fixed inputs'!$D$24:$D$28,MATCH($C75,'Fixed inputs'!$B$24:$B$28,0))))</f>
        <v>0.25417885930882417</v>
      </c>
      <c r="Q75" s="37">
        <f t="shared" ca="1" si="5"/>
        <v>0.38126828896323628</v>
      </c>
      <c r="R75" s="9"/>
    </row>
    <row r="76" spans="3:18" x14ac:dyDescent="0.2">
      <c r="C76" s="26" t="s">
        <v>8</v>
      </c>
      <c r="D76" s="27" t="s">
        <v>53</v>
      </c>
      <c r="E76" s="27">
        <f t="shared" si="4"/>
        <v>2019</v>
      </c>
      <c r="F76" s="28" t="str">
        <f t="shared" si="4"/>
        <v>Q3</v>
      </c>
      <c r="G76" s="19" t="s">
        <v>65</v>
      </c>
      <c r="H76" s="6" t="s">
        <v>92</v>
      </c>
      <c r="I76" s="6" t="s">
        <v>52</v>
      </c>
      <c r="J76" s="42">
        <v>6</v>
      </c>
      <c r="K76" s="19" t="s">
        <v>66</v>
      </c>
      <c r="L76" s="6" t="s">
        <v>92</v>
      </c>
      <c r="M76" s="6" t="s">
        <v>52</v>
      </c>
      <c r="N76" s="42">
        <v>12</v>
      </c>
      <c r="O76" s="35">
        <f ca="1">IF(H76="","",J76*(1/INDIRECT($H76))/INDEX('Fixed inputs'!$D$24:$D$28,MATCH($C76,'Fixed inputs'!$B$24:$B$28,0)))</f>
        <v>0.12708942965441208</v>
      </c>
      <c r="P76" s="36">
        <f ca="1">IF(L76="","",N76*(1/(INDIRECT($L76))/INDEX('Fixed inputs'!$D$24:$D$28,MATCH($C76,'Fixed inputs'!$B$24:$B$28,0))))</f>
        <v>0.25417885930882417</v>
      </c>
      <c r="Q76" s="37">
        <f t="shared" ca="1" si="5"/>
        <v>0.38126828896323628</v>
      </c>
      <c r="R76" s="9"/>
    </row>
    <row r="77" spans="3:18" x14ac:dyDescent="0.2">
      <c r="C77" s="29" t="s">
        <v>8</v>
      </c>
      <c r="D77" s="24" t="s">
        <v>53</v>
      </c>
      <c r="E77" s="24">
        <f t="shared" si="4"/>
        <v>2019</v>
      </c>
      <c r="F77" s="30" t="str">
        <f t="shared" si="4"/>
        <v>Q4</v>
      </c>
      <c r="G77" s="16" t="s">
        <v>65</v>
      </c>
      <c r="H77" s="20" t="s">
        <v>92</v>
      </c>
      <c r="I77" s="20" t="s">
        <v>52</v>
      </c>
      <c r="J77" s="43">
        <v>6</v>
      </c>
      <c r="K77" s="16" t="s">
        <v>66</v>
      </c>
      <c r="L77" s="20" t="s">
        <v>92</v>
      </c>
      <c r="M77" s="20" t="s">
        <v>52</v>
      </c>
      <c r="N77" s="43">
        <v>12</v>
      </c>
      <c r="O77" s="38">
        <f ca="1">IF(H77="","",J77*(1/INDIRECT($H77))/INDEX('Fixed inputs'!$D$24:$D$28,MATCH($C77,'Fixed inputs'!$B$24:$B$28,0)))</f>
        <v>0.12708942965441208</v>
      </c>
      <c r="P77" s="25">
        <f ca="1">IF(L77="","",N77*(1/(INDIRECT($L77))/INDEX('Fixed inputs'!$D$24:$D$28,MATCH($C77,'Fixed inputs'!$B$24:$B$28,0))))</f>
        <v>0.25417885930882417</v>
      </c>
      <c r="Q77" s="39">
        <f t="shared" ca="1" si="5"/>
        <v>0.38126828896323628</v>
      </c>
      <c r="R77" s="9"/>
    </row>
    <row r="78" spans="3:18" x14ac:dyDescent="0.2">
      <c r="C78" s="26" t="s">
        <v>67</v>
      </c>
      <c r="D78" s="27" t="s">
        <v>123</v>
      </c>
      <c r="E78" s="27">
        <f t="shared" si="4"/>
        <v>2018</v>
      </c>
      <c r="F78" s="28" t="str">
        <f t="shared" si="4"/>
        <v>Q1</v>
      </c>
      <c r="G78" s="19" t="s">
        <v>107</v>
      </c>
      <c r="H78" s="6" t="s">
        <v>94</v>
      </c>
      <c r="I78" s="6" t="s">
        <v>68</v>
      </c>
      <c r="J78" s="143">
        <v>17.397095148041561</v>
      </c>
      <c r="K78" s="19"/>
      <c r="L78" s="6"/>
      <c r="M78" s="6"/>
      <c r="N78" s="42"/>
      <c r="O78" s="35">
        <f>J78/'Fixed inputs'!$D$28</f>
        <v>4.8325264300115451</v>
      </c>
      <c r="P78" s="36" t="str">
        <f>IF(L78="","",N78*INDEX(rngFXtoEUr,MATCH(L78,rngCurrencies,0))/INDEX('Fixed inputs'!$D$24:$D$28,MATCH($C78,'Fixed inputs'!$B$24:$B$28,0)))</f>
        <v/>
      </c>
      <c r="Q78" s="37">
        <f t="shared" si="5"/>
        <v>4.8325264300115451</v>
      </c>
      <c r="R78" s="9"/>
    </row>
    <row r="79" spans="3:18" x14ac:dyDescent="0.2">
      <c r="C79" s="26" t="s">
        <v>67</v>
      </c>
      <c r="D79" s="27" t="s">
        <v>123</v>
      </c>
      <c r="E79" s="27">
        <f t="shared" ref="E79:F85" si="6">E71</f>
        <v>2018</v>
      </c>
      <c r="F79" s="28" t="str">
        <f t="shared" si="6"/>
        <v>Q2</v>
      </c>
      <c r="G79" s="19" t="s">
        <v>107</v>
      </c>
      <c r="H79" s="6" t="s">
        <v>94</v>
      </c>
      <c r="I79" s="6" t="s">
        <v>68</v>
      </c>
      <c r="J79" s="143">
        <v>2.1456424203153999</v>
      </c>
      <c r="K79" s="19"/>
      <c r="L79" s="6"/>
      <c r="M79" s="6"/>
      <c r="N79" s="42"/>
      <c r="O79" s="35">
        <f>J79/'Fixed inputs'!$D$28</f>
        <v>0.59601178342094441</v>
      </c>
      <c r="P79" s="36" t="str">
        <f>IF(L79="","",N79*INDEX(rngFXtoEUr,MATCH(L79,rngCurrencies,0))/INDEX('Fixed inputs'!$D$24:$D$28,MATCH($C79,'Fixed inputs'!$B$24:$B$28,0)))</f>
        <v/>
      </c>
      <c r="Q79" s="37">
        <f t="shared" si="5"/>
        <v>0.59601178342094441</v>
      </c>
      <c r="R79" s="9"/>
    </row>
    <row r="80" spans="3:18" x14ac:dyDescent="0.2">
      <c r="C80" s="26" t="s">
        <v>67</v>
      </c>
      <c r="D80" s="27" t="s">
        <v>123</v>
      </c>
      <c r="E80" s="27">
        <f t="shared" si="6"/>
        <v>2018</v>
      </c>
      <c r="F80" s="28" t="str">
        <f t="shared" si="6"/>
        <v>Q3</v>
      </c>
      <c r="G80" s="19" t="s">
        <v>107</v>
      </c>
      <c r="H80" s="6" t="s">
        <v>94</v>
      </c>
      <c r="I80" s="6" t="s">
        <v>68</v>
      </c>
      <c r="J80" s="143">
        <v>0.42250085399999998</v>
      </c>
      <c r="K80" s="19"/>
      <c r="L80" s="6"/>
      <c r="M80" s="6"/>
      <c r="N80" s="42"/>
      <c r="O80" s="35">
        <f>J80/'Fixed inputs'!$D$28</f>
        <v>0.11736134833333332</v>
      </c>
      <c r="P80" s="36" t="str">
        <f>IF(L80="","",N80*INDEX(rngFXtoEUr,MATCH(L80,rngCurrencies,0))/INDEX('Fixed inputs'!$D$24:$D$28,MATCH($C80,'Fixed inputs'!$B$24:$B$28,0)))</f>
        <v/>
      </c>
      <c r="Q80" s="37">
        <f t="shared" si="5"/>
        <v>0.11736134833333332</v>
      </c>
      <c r="R80" s="9"/>
    </row>
    <row r="81" spans="3:18" x14ac:dyDescent="0.2">
      <c r="C81" s="26" t="s">
        <v>67</v>
      </c>
      <c r="D81" s="27" t="s">
        <v>123</v>
      </c>
      <c r="E81" s="27">
        <f t="shared" si="6"/>
        <v>2018</v>
      </c>
      <c r="F81" s="28" t="str">
        <f t="shared" si="6"/>
        <v>Q4</v>
      </c>
      <c r="G81" s="19" t="s">
        <v>107</v>
      </c>
      <c r="H81" s="6" t="s">
        <v>94</v>
      </c>
      <c r="I81" s="6" t="s">
        <v>68</v>
      </c>
      <c r="J81" s="143">
        <v>7.0416837166723596</v>
      </c>
      <c r="K81" s="19"/>
      <c r="L81" s="6"/>
      <c r="M81" s="6"/>
      <c r="N81" s="42"/>
      <c r="O81" s="35">
        <f>J81/'Fixed inputs'!$D$28</f>
        <v>1.9560232546312109</v>
      </c>
      <c r="P81" s="36" t="str">
        <f>IF(L81="","",N81*INDEX(rngFXtoEUr,MATCH(L81,rngCurrencies,0))/INDEX('Fixed inputs'!$D$24:$D$28,MATCH($C81,'Fixed inputs'!$B$24:$B$28,0)))</f>
        <v/>
      </c>
      <c r="Q81" s="37">
        <f t="shared" si="5"/>
        <v>1.9560232546312109</v>
      </c>
      <c r="R81" s="9"/>
    </row>
    <row r="82" spans="3:18" x14ac:dyDescent="0.2">
      <c r="C82" s="26" t="s">
        <v>67</v>
      </c>
      <c r="D82" s="27" t="s">
        <v>123</v>
      </c>
      <c r="E82" s="27">
        <f t="shared" si="6"/>
        <v>2019</v>
      </c>
      <c r="F82" s="28" t="str">
        <f t="shared" si="6"/>
        <v>Q1</v>
      </c>
      <c r="G82" s="19" t="s">
        <v>107</v>
      </c>
      <c r="H82" s="6" t="s">
        <v>94</v>
      </c>
      <c r="I82" s="6" t="s">
        <v>68</v>
      </c>
      <c r="J82" s="143">
        <v>17.397095148041561</v>
      </c>
      <c r="K82" s="19"/>
      <c r="L82" s="6"/>
      <c r="M82" s="6"/>
      <c r="N82" s="42"/>
      <c r="O82" s="35">
        <f>J82/'Fixed inputs'!$D$28</f>
        <v>4.8325264300115451</v>
      </c>
      <c r="P82" s="36" t="str">
        <f>IF(L82="","",N82*INDEX(rngFXtoEUr,MATCH(L82,rngCurrencies,0))/INDEX('Fixed inputs'!$D$24:$D$28,MATCH($C82,'Fixed inputs'!$B$24:$B$28,0)))</f>
        <v/>
      </c>
      <c r="Q82" s="37">
        <f t="shared" si="5"/>
        <v>4.8325264300115451</v>
      </c>
      <c r="R82" s="9"/>
    </row>
    <row r="83" spans="3:18" x14ac:dyDescent="0.2">
      <c r="C83" s="26" t="s">
        <v>67</v>
      </c>
      <c r="D83" s="27" t="s">
        <v>123</v>
      </c>
      <c r="E83" s="27">
        <f t="shared" si="6"/>
        <v>2019</v>
      </c>
      <c r="F83" s="28" t="str">
        <f t="shared" si="6"/>
        <v>Q2</v>
      </c>
      <c r="G83" s="19" t="s">
        <v>107</v>
      </c>
      <c r="H83" s="6" t="s">
        <v>94</v>
      </c>
      <c r="I83" s="6" t="s">
        <v>68</v>
      </c>
      <c r="J83" s="143">
        <v>2.1456424203153999</v>
      </c>
      <c r="K83" s="19"/>
      <c r="L83" s="6"/>
      <c r="M83" s="6"/>
      <c r="N83" s="42"/>
      <c r="O83" s="35">
        <f>J83/'Fixed inputs'!$D$28</f>
        <v>0.59601178342094441</v>
      </c>
      <c r="P83" s="36" t="str">
        <f>IF(L83="","",N83*INDEX(rngFXtoEUr,MATCH(L83,rngCurrencies,0))/INDEX('Fixed inputs'!$D$24:$D$28,MATCH($C83,'Fixed inputs'!$B$24:$B$28,0)))</f>
        <v/>
      </c>
      <c r="Q83" s="37">
        <f t="shared" si="5"/>
        <v>0.59601178342094441</v>
      </c>
      <c r="R83" s="9"/>
    </row>
    <row r="84" spans="3:18" x14ac:dyDescent="0.2">
      <c r="C84" s="26" t="s">
        <v>67</v>
      </c>
      <c r="D84" s="27" t="s">
        <v>123</v>
      </c>
      <c r="E84" s="27">
        <f t="shared" si="6"/>
        <v>2019</v>
      </c>
      <c r="F84" s="28" t="str">
        <f t="shared" si="6"/>
        <v>Q3</v>
      </c>
      <c r="G84" s="19" t="s">
        <v>107</v>
      </c>
      <c r="H84" s="6" t="s">
        <v>94</v>
      </c>
      <c r="I84" s="6" t="s">
        <v>68</v>
      </c>
      <c r="J84" s="143">
        <v>0.42250085399999998</v>
      </c>
      <c r="K84" s="19"/>
      <c r="L84" s="6"/>
      <c r="M84" s="6"/>
      <c r="N84" s="42"/>
      <c r="O84" s="35">
        <f>J84/'Fixed inputs'!$D$28</f>
        <v>0.11736134833333332</v>
      </c>
      <c r="P84" s="36" t="str">
        <f>IF(L84="","",N84*INDEX(rngFXtoEUr,MATCH(L84,rngCurrencies,0))/INDEX('Fixed inputs'!$D$24:$D$28,MATCH($C84,'Fixed inputs'!$B$24:$B$28,0)))</f>
        <v/>
      </c>
      <c r="Q84" s="37">
        <f t="shared" si="5"/>
        <v>0.11736134833333332</v>
      </c>
      <c r="R84" s="9"/>
    </row>
    <row r="85" spans="3:18" x14ac:dyDescent="0.2">
      <c r="C85" s="29" t="s">
        <v>67</v>
      </c>
      <c r="D85" s="24" t="s">
        <v>123</v>
      </c>
      <c r="E85" s="24">
        <f t="shared" si="6"/>
        <v>2019</v>
      </c>
      <c r="F85" s="30" t="str">
        <f t="shared" si="6"/>
        <v>Q4</v>
      </c>
      <c r="G85" s="16" t="s">
        <v>107</v>
      </c>
      <c r="H85" s="20" t="s">
        <v>94</v>
      </c>
      <c r="I85" s="20" t="s">
        <v>68</v>
      </c>
      <c r="J85" s="144">
        <v>7.0416837166723596</v>
      </c>
      <c r="K85" s="16"/>
      <c r="L85" s="20"/>
      <c r="M85" s="20"/>
      <c r="N85" s="43"/>
      <c r="O85" s="38">
        <f>J85/'Fixed inputs'!$D$28</f>
        <v>1.9560232546312109</v>
      </c>
      <c r="P85" s="25" t="str">
        <f>IF(L85="","",N85*INDEX(rngFXtoEUr,MATCH(L85,rngCurrencies,0))/INDEX('Fixed inputs'!$D$24:$D$28,MATCH($C85,'Fixed inputs'!$B$24:$B$28,0)))</f>
        <v/>
      </c>
      <c r="Q85" s="39">
        <f t="shared" si="5"/>
        <v>1.9560232546312109</v>
      </c>
      <c r="R85" s="9"/>
    </row>
    <row r="86" spans="3:18" x14ac:dyDescent="0.2">
      <c r="C86" s="9"/>
      <c r="D86" s="9"/>
      <c r="E86" s="9"/>
      <c r="F86" s="9"/>
      <c r="G86" s="9"/>
      <c r="H86" s="9"/>
      <c r="I86" s="9"/>
      <c r="J86" s="9"/>
      <c r="K86" s="9"/>
      <c r="L86" s="9"/>
      <c r="M86" s="9"/>
      <c r="N86" s="9"/>
      <c r="O86" s="9"/>
      <c r="P86" s="9"/>
      <c r="Q86" s="9"/>
      <c r="R86" s="9"/>
    </row>
    <row r="87" spans="3:18" x14ac:dyDescent="0.2">
      <c r="C87" s="9"/>
      <c r="D87" s="9"/>
      <c r="E87" s="9"/>
      <c r="F87" s="9"/>
      <c r="G87" s="9"/>
      <c r="H87" s="9"/>
      <c r="I87" s="9"/>
      <c r="J87" s="9"/>
      <c r="K87" s="9"/>
      <c r="L87" s="9"/>
      <c r="M87" s="9"/>
      <c r="N87" s="9"/>
      <c r="O87" s="9"/>
      <c r="P87" s="9"/>
      <c r="Q87" s="9"/>
      <c r="R87" s="9"/>
    </row>
    <row r="88" spans="3:18" x14ac:dyDescent="0.2">
      <c r="C88" s="9"/>
      <c r="D88" s="9"/>
      <c r="E88" s="9"/>
      <c r="F88" s="9"/>
      <c r="G88" s="9"/>
      <c r="H88" s="9"/>
      <c r="I88" s="9"/>
      <c r="J88" s="9"/>
      <c r="K88" s="9"/>
      <c r="L88" s="9"/>
      <c r="M88" s="9"/>
      <c r="N88" s="9"/>
      <c r="O88" s="9"/>
      <c r="P88" s="9"/>
      <c r="Q88" s="9"/>
      <c r="R88" s="9"/>
    </row>
  </sheetData>
  <mergeCells count="2">
    <mergeCell ref="G4:J4"/>
    <mergeCell ref="K4:N4"/>
  </mergeCells>
  <dataValidations count="2">
    <dataValidation type="list" allowBlank="1" showInputMessage="1" showErrorMessage="1" sqref="C6:C77">
      <formula1>rngFuels</formula1>
    </dataValidation>
    <dataValidation type="list" allowBlank="1" showInputMessage="1" showErrorMessage="1" sqref="D6:D85">
      <formula1>rngMarkets</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ksOutput1">
    <tabColor theme="5"/>
  </sheetPr>
  <dimension ref="A1:AF99"/>
  <sheetViews>
    <sheetView topLeftCell="E1" zoomScaleNormal="100" workbookViewId="0">
      <selection activeCell="E1" sqref="E1"/>
    </sheetView>
  </sheetViews>
  <sheetFormatPr defaultRowHeight="12.75" outlineLevelCol="1" x14ac:dyDescent="0.2"/>
  <cols>
    <col min="1" max="4" width="10" style="67" hidden="1" customWidth="1" outlineLevel="1"/>
    <col min="5" max="5" width="13.140625" style="67" customWidth="1" collapsed="1"/>
    <col min="6" max="6" width="9.42578125" style="7" customWidth="1"/>
    <col min="7" max="7" width="28.140625" style="7" customWidth="1"/>
    <col min="8" max="8" width="21.5703125" style="7" customWidth="1"/>
    <col min="9" max="10" width="10.28515625" style="7" customWidth="1"/>
    <col min="11" max="12" width="9.140625" style="7"/>
    <col min="13" max="13" width="15.85546875" style="7" bestFit="1" customWidth="1"/>
    <col min="14" max="14" width="15.42578125" style="7" bestFit="1" customWidth="1"/>
    <col min="15" max="17" width="9.140625" style="7"/>
    <col min="18" max="18" width="38.140625" style="7" bestFit="1" customWidth="1"/>
    <col min="19" max="21" width="9.140625" style="7"/>
    <col min="22" max="22" width="19.28515625" style="7" customWidth="1"/>
    <col min="23" max="26" width="9.140625" style="7"/>
    <col min="27" max="27" width="16.42578125" style="7" bestFit="1" customWidth="1"/>
    <col min="28" max="28" width="15.42578125" style="7" bestFit="1" customWidth="1"/>
    <col min="29" max="31" width="9.140625" style="7"/>
    <col min="32" max="32" width="38.140625" style="7" bestFit="1" customWidth="1"/>
    <col min="33" max="16384" width="9.140625" style="7"/>
  </cols>
  <sheetData>
    <row r="1" spans="1:32" s="67" customFormat="1" x14ac:dyDescent="0.2"/>
    <row r="2" spans="1:32" s="67" customFormat="1" x14ac:dyDescent="0.2"/>
    <row r="3" spans="1:32" s="67" customFormat="1" x14ac:dyDescent="0.2"/>
    <row r="4" spans="1:32" s="67" customFormat="1" x14ac:dyDescent="0.2"/>
    <row r="5" spans="1:32" s="67" customFormat="1" x14ac:dyDescent="0.2"/>
    <row r="6" spans="1:32" x14ac:dyDescent="0.2">
      <c r="F6" s="8"/>
      <c r="G6" s="4" t="s">
        <v>99</v>
      </c>
      <c r="H6" s="96" t="s">
        <v>125</v>
      </c>
    </row>
    <row r="8" spans="1:32" x14ac:dyDescent="0.2">
      <c r="M8" s="151"/>
    </row>
    <row r="9" spans="1:32" x14ac:dyDescent="0.2">
      <c r="G9" s="111" t="s">
        <v>100</v>
      </c>
      <c r="U9" s="111" t="s">
        <v>101</v>
      </c>
    </row>
    <row r="10" spans="1:32" x14ac:dyDescent="0.2">
      <c r="G10" s="98" t="s">
        <v>7</v>
      </c>
      <c r="H10" s="99" t="s">
        <v>14</v>
      </c>
      <c r="I10" s="99" t="s">
        <v>15</v>
      </c>
      <c r="J10" s="99" t="s">
        <v>20</v>
      </c>
      <c r="K10" s="99" t="s">
        <v>12</v>
      </c>
      <c r="L10" s="99" t="s">
        <v>16</v>
      </c>
      <c r="M10" s="99" t="s">
        <v>17</v>
      </c>
      <c r="N10" s="99" t="s">
        <v>18</v>
      </c>
      <c r="O10" s="99" t="s">
        <v>19</v>
      </c>
      <c r="P10" s="99" t="s">
        <v>121</v>
      </c>
      <c r="Q10" s="99" t="s">
        <v>122</v>
      </c>
      <c r="R10" s="100" t="s">
        <v>21</v>
      </c>
      <c r="U10" s="98" t="s">
        <v>85</v>
      </c>
      <c r="V10" s="99" t="s">
        <v>14</v>
      </c>
      <c r="W10" s="99" t="s">
        <v>15</v>
      </c>
      <c r="X10" s="99" t="s">
        <v>20</v>
      </c>
      <c r="Y10" s="99" t="s">
        <v>12</v>
      </c>
      <c r="Z10" s="99" t="s">
        <v>16</v>
      </c>
      <c r="AA10" s="99" t="s">
        <v>17</v>
      </c>
      <c r="AB10" s="99" t="s">
        <v>18</v>
      </c>
      <c r="AC10" s="99" t="s">
        <v>19</v>
      </c>
      <c r="AD10" s="99" t="s">
        <v>121</v>
      </c>
      <c r="AE10" s="99" t="s">
        <v>122</v>
      </c>
      <c r="AF10" s="100" t="s">
        <v>21</v>
      </c>
    </row>
    <row r="11" spans="1:32" x14ac:dyDescent="0.2">
      <c r="A11" s="97" t="str">
        <f>'Fuel adder inputs and calcs'!C6</f>
        <v>Coal</v>
      </c>
      <c r="B11" s="97" t="str">
        <f>'Fuel adder inputs and calcs'!D6</f>
        <v>RoI</v>
      </c>
      <c r="C11" s="97" t="str">
        <f>'Fuel adder inputs and calcs'!E6&amp;'Fuel adder inputs and calcs'!F6</f>
        <v>2018Q1</v>
      </c>
      <c r="D11" s="97" t="str">
        <f>B11&amp;" "&amp;INDEX('Fixed inputs'!$D$34:$D$37,MATCH(A11,rngFuels,0))</f>
        <v>RoI Coal</v>
      </c>
      <c r="E11" s="68"/>
      <c r="G11" s="101" t="str">
        <f>D11</f>
        <v>RoI Coal</v>
      </c>
      <c r="H11" s="101" t="s">
        <v>22</v>
      </c>
      <c r="I11" s="102">
        <f ca="1">INDEX(rngFuelPricesDeterministic,MATCH($C11,'Commodity inputs and calcs'!$L$14:$L$21,0),MATCH($A11,'Commodity inputs and calcs'!$M$13:$P$13,0))+'Fuel adder inputs and calcs'!Q6</f>
        <v>3.2004252454308362</v>
      </c>
      <c r="J11" s="102"/>
      <c r="K11" s="101" t="s">
        <v>23</v>
      </c>
      <c r="L11" s="103">
        <v>1</v>
      </c>
      <c r="M11" s="104">
        <f>INDEX('Fixed inputs'!$G$6:$G$18,MATCH(C11,'Fixed inputs'!$D$6:$D$18,0))</f>
        <v>43101</v>
      </c>
      <c r="N11" s="104">
        <f t="shared" ref="N11:N42" si="0">IF(G11=G12,M12-1,"")</f>
        <v>43190</v>
      </c>
      <c r="O11" s="101" t="s">
        <v>24</v>
      </c>
      <c r="P11" s="7" t="s">
        <v>120</v>
      </c>
      <c r="Q11" s="101" t="s">
        <v>24</v>
      </c>
      <c r="R11" s="105" t="str">
        <f>$H$6</f>
        <v>Quarterly Commodity Prices_Nov-2017dummy</v>
      </c>
      <c r="T11" s="112" t="s">
        <v>34</v>
      </c>
      <c r="U11" s="101" t="s">
        <v>10</v>
      </c>
      <c r="V11" s="101" t="s">
        <v>22</v>
      </c>
      <c r="W11" s="102">
        <f>INDEX(rngCarbonTaxDeterministic,MATCH($C11,'Commodity inputs and calcs'!$L$28:$L$35,0),MATCH($T11,'Commodity inputs and calcs'!$N$27:$P$27,0))</f>
        <v>8.0000000000000002E-3</v>
      </c>
      <c r="X11" s="102"/>
      <c r="Y11" s="101" t="s">
        <v>86</v>
      </c>
      <c r="Z11" s="103">
        <v>1</v>
      </c>
      <c r="AA11" s="104">
        <f>M11</f>
        <v>43101</v>
      </c>
      <c r="AB11" s="104">
        <f t="shared" ref="AB11:AB42" si="1">IF(U11=U12,AA12-1,"")</f>
        <v>43190</v>
      </c>
      <c r="AC11" s="101" t="s">
        <v>24</v>
      </c>
      <c r="AD11" s="7" t="s">
        <v>120</v>
      </c>
      <c r="AE11" s="101" t="s">
        <v>24</v>
      </c>
      <c r="AF11" s="105" t="str">
        <f>$H$6</f>
        <v>Quarterly Commodity Prices_Nov-2017dummy</v>
      </c>
    </row>
    <row r="12" spans="1:32" x14ac:dyDescent="0.2">
      <c r="A12" s="97" t="str">
        <f>'Fuel adder inputs and calcs'!C7</f>
        <v>Coal</v>
      </c>
      <c r="B12" s="97" t="str">
        <f>'Fuel adder inputs and calcs'!D7</f>
        <v>RoI</v>
      </c>
      <c r="C12" s="97" t="str">
        <f>'Fuel adder inputs and calcs'!E7&amp;'Fuel adder inputs and calcs'!F7</f>
        <v>2018Q2</v>
      </c>
      <c r="D12" s="97" t="str">
        <f>B12&amp;" "&amp;INDEX('Fixed inputs'!$D$34:$D$37,MATCH(A12,rngFuels,0))</f>
        <v>RoI Coal</v>
      </c>
      <c r="E12" s="68"/>
      <c r="G12" s="101" t="str">
        <f t="shared" ref="G12:G75" si="2">D12</f>
        <v>RoI Coal</v>
      </c>
      <c r="H12" s="101" t="s">
        <v>22</v>
      </c>
      <c r="I12" s="102">
        <f ca="1">INDEX(rngFuelPricesDeterministic,MATCH($C12,'Commodity inputs and calcs'!$L$14:$L$21,0),MATCH($A12,'Commodity inputs and calcs'!$M$13:$P$13,0))+'Fuel adder inputs and calcs'!Q7</f>
        <v>3.2004252454308362</v>
      </c>
      <c r="J12" s="102"/>
      <c r="K12" s="101" t="s">
        <v>23</v>
      </c>
      <c r="L12" s="103">
        <v>1</v>
      </c>
      <c r="M12" s="104">
        <f>INDEX('Fixed inputs'!$G$6:$G$18,MATCH(C12,'Fixed inputs'!$D$6:$D$18,0))</f>
        <v>43191</v>
      </c>
      <c r="N12" s="104">
        <f t="shared" si="0"/>
        <v>43281</v>
      </c>
      <c r="O12" s="101" t="s">
        <v>24</v>
      </c>
      <c r="P12" s="101" t="str">
        <f>P11</f>
        <v>=</v>
      </c>
      <c r="Q12" s="101" t="s">
        <v>24</v>
      </c>
      <c r="R12" s="105" t="str">
        <f t="shared" ref="R12:R75" si="3">$H$6</f>
        <v>Quarterly Commodity Prices_Nov-2017dummy</v>
      </c>
      <c r="T12" s="112" t="s">
        <v>34</v>
      </c>
      <c r="U12" s="101" t="s">
        <v>10</v>
      </c>
      <c r="V12" s="101" t="s">
        <v>22</v>
      </c>
      <c r="W12" s="102">
        <f>INDEX(rngCarbonTaxDeterministic,MATCH($C12,'Commodity inputs and calcs'!$L$28:$L$35,0),MATCH($T12,'Commodity inputs and calcs'!$N$27:$P$27,0))</f>
        <v>8.0000000000000002E-3</v>
      </c>
      <c r="X12" s="102"/>
      <c r="Y12" s="101" t="s">
        <v>86</v>
      </c>
      <c r="Z12" s="103">
        <v>1</v>
      </c>
      <c r="AA12" s="104">
        <f>M12</f>
        <v>43191</v>
      </c>
      <c r="AB12" s="104">
        <f t="shared" si="1"/>
        <v>43281</v>
      </c>
      <c r="AC12" s="101" t="s">
        <v>24</v>
      </c>
      <c r="AD12" s="101" t="str">
        <f>AD11</f>
        <v>=</v>
      </c>
      <c r="AE12" s="101" t="s">
        <v>24</v>
      </c>
      <c r="AF12" s="105" t="str">
        <f t="shared" ref="AF12:AF42" si="4">$H$6</f>
        <v>Quarterly Commodity Prices_Nov-2017dummy</v>
      </c>
    </row>
    <row r="13" spans="1:32" x14ac:dyDescent="0.2">
      <c r="A13" s="97" t="str">
        <f>'Fuel adder inputs and calcs'!C8</f>
        <v>Coal</v>
      </c>
      <c r="B13" s="97" t="str">
        <f>'Fuel adder inputs and calcs'!D8</f>
        <v>RoI</v>
      </c>
      <c r="C13" s="97" t="str">
        <f>'Fuel adder inputs and calcs'!E8&amp;'Fuel adder inputs and calcs'!F8</f>
        <v>2018Q3</v>
      </c>
      <c r="D13" s="97" t="str">
        <f>B13&amp;" "&amp;INDEX('Fixed inputs'!$D$34:$D$37,MATCH(A13,rngFuels,0))</f>
        <v>RoI Coal</v>
      </c>
      <c r="E13" s="68"/>
      <c r="G13" s="101" t="str">
        <f t="shared" si="2"/>
        <v>RoI Coal</v>
      </c>
      <c r="H13" s="101" t="s">
        <v>22</v>
      </c>
      <c r="I13" s="102">
        <f ca="1">INDEX(rngFuelPricesDeterministic,MATCH($C13,'Commodity inputs and calcs'!$L$14:$L$21,0),MATCH($A13,'Commodity inputs and calcs'!$M$13:$P$13,0))+'Fuel adder inputs and calcs'!Q8</f>
        <v>3.2004252454308362</v>
      </c>
      <c r="J13" s="102"/>
      <c r="K13" s="101" t="s">
        <v>23</v>
      </c>
      <c r="L13" s="103">
        <v>1</v>
      </c>
      <c r="M13" s="104">
        <f>INDEX('Fixed inputs'!$G$6:$G$18,MATCH(C13,'Fixed inputs'!$D$6:$D$18,0))</f>
        <v>43282</v>
      </c>
      <c r="N13" s="104">
        <f t="shared" si="0"/>
        <v>43373</v>
      </c>
      <c r="O13" s="101" t="s">
        <v>24</v>
      </c>
      <c r="P13" s="101" t="str">
        <f t="shared" ref="P13:P76" si="5">P12</f>
        <v>=</v>
      </c>
      <c r="Q13" s="101" t="s">
        <v>24</v>
      </c>
      <c r="R13" s="105" t="str">
        <f t="shared" si="3"/>
        <v>Quarterly Commodity Prices_Nov-2017dummy</v>
      </c>
      <c r="T13" s="112" t="s">
        <v>34</v>
      </c>
      <c r="U13" s="101" t="s">
        <v>10</v>
      </c>
      <c r="V13" s="101" t="s">
        <v>22</v>
      </c>
      <c r="W13" s="102">
        <f>INDEX(rngCarbonTaxDeterministic,MATCH($C13,'Commodity inputs and calcs'!$L$28:$L$35,0),MATCH($T13,'Commodity inputs and calcs'!$N$27:$P$27,0))</f>
        <v>8.0000000000000002E-3</v>
      </c>
      <c r="X13" s="102"/>
      <c r="Y13" s="101" t="s">
        <v>86</v>
      </c>
      <c r="Z13" s="103">
        <v>1</v>
      </c>
      <c r="AA13" s="104">
        <f>M13</f>
        <v>43282</v>
      </c>
      <c r="AB13" s="104">
        <f t="shared" si="1"/>
        <v>43373</v>
      </c>
      <c r="AC13" s="101" t="s">
        <v>24</v>
      </c>
      <c r="AD13" s="101" t="str">
        <f t="shared" ref="AD13:AD42" si="6">AD12</f>
        <v>=</v>
      </c>
      <c r="AE13" s="101" t="s">
        <v>24</v>
      </c>
      <c r="AF13" s="105" t="str">
        <f t="shared" si="4"/>
        <v>Quarterly Commodity Prices_Nov-2017dummy</v>
      </c>
    </row>
    <row r="14" spans="1:32" x14ac:dyDescent="0.2">
      <c r="A14" s="97" t="str">
        <f>'Fuel adder inputs and calcs'!C9</f>
        <v>Coal</v>
      </c>
      <c r="B14" s="97" t="str">
        <f>'Fuel adder inputs and calcs'!D9</f>
        <v>RoI</v>
      </c>
      <c r="C14" s="97" t="str">
        <f>'Fuel adder inputs and calcs'!E9&amp;'Fuel adder inputs and calcs'!F9</f>
        <v>2018Q4</v>
      </c>
      <c r="D14" s="97" t="str">
        <f>B14&amp;" "&amp;INDEX('Fixed inputs'!$D$34:$D$37,MATCH(A14,rngFuels,0))</f>
        <v>RoI Coal</v>
      </c>
      <c r="E14" s="68"/>
      <c r="G14" s="101" t="str">
        <f t="shared" si="2"/>
        <v>RoI Coal</v>
      </c>
      <c r="H14" s="101" t="s">
        <v>22</v>
      </c>
      <c r="I14" s="102">
        <f ca="1">INDEX(rngFuelPricesDeterministic,MATCH($C14,'Commodity inputs and calcs'!$L$14:$L$21,0),MATCH($A14,'Commodity inputs and calcs'!$M$13:$P$13,0))+'Fuel adder inputs and calcs'!Q9</f>
        <v>3.2004252454308362</v>
      </c>
      <c r="J14" s="102"/>
      <c r="K14" s="101" t="s">
        <v>23</v>
      </c>
      <c r="L14" s="103">
        <v>1</v>
      </c>
      <c r="M14" s="104">
        <f>INDEX('Fixed inputs'!$G$6:$G$18,MATCH(C14,'Fixed inputs'!$D$6:$D$18,0))</f>
        <v>43374</v>
      </c>
      <c r="N14" s="104">
        <f t="shared" si="0"/>
        <v>43465</v>
      </c>
      <c r="O14" s="101"/>
      <c r="P14" s="101" t="str">
        <f t="shared" si="5"/>
        <v>=</v>
      </c>
      <c r="Q14" s="101" t="s">
        <v>24</v>
      </c>
      <c r="R14" s="105" t="str">
        <f t="shared" si="3"/>
        <v>Quarterly Commodity Prices_Nov-2017dummy</v>
      </c>
      <c r="T14" s="112" t="s">
        <v>34</v>
      </c>
      <c r="U14" s="101" t="s">
        <v>10</v>
      </c>
      <c r="V14" s="101" t="s">
        <v>22</v>
      </c>
      <c r="W14" s="102">
        <f>INDEX(rngCarbonTaxDeterministic,MATCH($C14,'Commodity inputs and calcs'!$L$28:$L$35,0),MATCH($T14,'Commodity inputs and calcs'!$N$27:$P$27,0))</f>
        <v>8.0000000000000002E-3</v>
      </c>
      <c r="X14" s="102"/>
      <c r="Y14" s="101" t="s">
        <v>86</v>
      </c>
      <c r="Z14" s="103">
        <v>1</v>
      </c>
      <c r="AA14" s="104">
        <f>M14</f>
        <v>43374</v>
      </c>
      <c r="AB14" s="104">
        <f t="shared" si="1"/>
        <v>43465</v>
      </c>
      <c r="AC14" s="101" t="s">
        <v>24</v>
      </c>
      <c r="AD14" s="101" t="str">
        <f t="shared" si="6"/>
        <v>=</v>
      </c>
      <c r="AE14" s="101" t="s">
        <v>24</v>
      </c>
      <c r="AF14" s="105" t="str">
        <f t="shared" si="4"/>
        <v>Quarterly Commodity Prices_Nov-2017dummy</v>
      </c>
    </row>
    <row r="15" spans="1:32" x14ac:dyDescent="0.2">
      <c r="A15" s="97" t="str">
        <f>'Fuel adder inputs and calcs'!C10</f>
        <v>Coal</v>
      </c>
      <c r="B15" s="97" t="str">
        <f>'Fuel adder inputs and calcs'!D10</f>
        <v>RoI</v>
      </c>
      <c r="C15" s="97" t="str">
        <f>'Fuel adder inputs and calcs'!E10&amp;'Fuel adder inputs and calcs'!F10</f>
        <v>2019Q1</v>
      </c>
      <c r="D15" s="97" t="str">
        <f>B15&amp;" "&amp;INDEX('Fixed inputs'!$D$34:$D$37,MATCH(A15,rngFuels,0))</f>
        <v>RoI Coal</v>
      </c>
      <c r="E15" s="68"/>
      <c r="G15" s="101" t="str">
        <f t="shared" si="2"/>
        <v>RoI Coal</v>
      </c>
      <c r="H15" s="101" t="s">
        <v>22</v>
      </c>
      <c r="I15" s="102">
        <f ca="1">INDEX(rngFuelPricesDeterministic,MATCH($C15,'Commodity inputs and calcs'!$L$14:$L$21,0),MATCH($A15,'Commodity inputs and calcs'!$M$13:$P$13,0))+'Fuel adder inputs and calcs'!Q10</f>
        <v>3.2004252454308362</v>
      </c>
      <c r="J15" s="102"/>
      <c r="K15" s="101" t="s">
        <v>23</v>
      </c>
      <c r="L15" s="103">
        <v>1</v>
      </c>
      <c r="M15" s="104">
        <f>INDEX('Fixed inputs'!$G$6:$G$18,MATCH(C15,'Fixed inputs'!$D$6:$D$18,0))</f>
        <v>43466</v>
      </c>
      <c r="N15" s="104">
        <f t="shared" si="0"/>
        <v>43555</v>
      </c>
      <c r="O15" s="101" t="s">
        <v>24</v>
      </c>
      <c r="P15" s="101" t="str">
        <f t="shared" si="5"/>
        <v>=</v>
      </c>
      <c r="Q15" s="101" t="s">
        <v>24</v>
      </c>
      <c r="R15" s="105" t="str">
        <f t="shared" si="3"/>
        <v>Quarterly Commodity Prices_Nov-2017dummy</v>
      </c>
      <c r="T15" s="112" t="s">
        <v>34</v>
      </c>
      <c r="U15" s="101" t="s">
        <v>10</v>
      </c>
      <c r="V15" s="101" t="s">
        <v>22</v>
      </c>
      <c r="W15" s="102">
        <f>INDEX(rngCarbonTaxDeterministic,MATCH($C15,'Commodity inputs and calcs'!$L$28:$L$35,0),MATCH($T15,'Commodity inputs and calcs'!$N$27:$P$27,0))</f>
        <v>8.0000000000000002E-3</v>
      </c>
      <c r="X15" s="102"/>
      <c r="Y15" s="101" t="s">
        <v>86</v>
      </c>
      <c r="Z15" s="103">
        <v>1</v>
      </c>
      <c r="AA15" s="104">
        <f>M15</f>
        <v>43466</v>
      </c>
      <c r="AB15" s="104">
        <f t="shared" si="1"/>
        <v>43555</v>
      </c>
      <c r="AC15" s="101" t="s">
        <v>24</v>
      </c>
      <c r="AD15" s="101" t="str">
        <f t="shared" si="6"/>
        <v>=</v>
      </c>
      <c r="AE15" s="101" t="s">
        <v>24</v>
      </c>
      <c r="AF15" s="105" t="str">
        <f t="shared" si="4"/>
        <v>Quarterly Commodity Prices_Nov-2017dummy</v>
      </c>
    </row>
    <row r="16" spans="1:32" x14ac:dyDescent="0.2">
      <c r="A16" s="97" t="str">
        <f>'Fuel adder inputs and calcs'!C11</f>
        <v>Coal</v>
      </c>
      <c r="B16" s="97" t="str">
        <f>'Fuel adder inputs and calcs'!D11</f>
        <v>RoI</v>
      </c>
      <c r="C16" s="97" t="str">
        <f>'Fuel adder inputs and calcs'!E11&amp;'Fuel adder inputs and calcs'!F11</f>
        <v>2019Q2</v>
      </c>
      <c r="D16" s="97" t="str">
        <f>B16&amp;" "&amp;INDEX('Fixed inputs'!$D$34:$D$37,MATCH(A16,rngFuels,0))</f>
        <v>RoI Coal</v>
      </c>
      <c r="E16" s="68"/>
      <c r="G16" s="101" t="str">
        <f t="shared" si="2"/>
        <v>RoI Coal</v>
      </c>
      <c r="H16" s="101" t="s">
        <v>22</v>
      </c>
      <c r="I16" s="102">
        <f ca="1">INDEX(rngFuelPricesDeterministic,MATCH($C16,'Commodity inputs and calcs'!$L$14:$L$21,0),MATCH($A16,'Commodity inputs and calcs'!$M$13:$P$13,0))+'Fuel adder inputs and calcs'!Q11</f>
        <v>3.2004252454308362</v>
      </c>
      <c r="J16" s="102"/>
      <c r="K16" s="101" t="s">
        <v>23</v>
      </c>
      <c r="L16" s="103">
        <v>1</v>
      </c>
      <c r="M16" s="104">
        <f>INDEX('Fixed inputs'!$G$6:$G$18,MATCH(C16,'Fixed inputs'!$D$6:$D$18,0))</f>
        <v>43556</v>
      </c>
      <c r="N16" s="104">
        <f t="shared" si="0"/>
        <v>43646</v>
      </c>
      <c r="O16" s="101" t="s">
        <v>24</v>
      </c>
      <c r="P16" s="101" t="str">
        <f t="shared" si="5"/>
        <v>=</v>
      </c>
      <c r="Q16" s="101" t="s">
        <v>24</v>
      </c>
      <c r="R16" s="105" t="str">
        <f t="shared" si="3"/>
        <v>Quarterly Commodity Prices_Nov-2017dummy</v>
      </c>
      <c r="T16" s="112" t="s">
        <v>34</v>
      </c>
      <c r="U16" s="101" t="s">
        <v>10</v>
      </c>
      <c r="V16" s="101" t="s">
        <v>22</v>
      </c>
      <c r="W16" s="102">
        <f>INDEX(rngCarbonTaxDeterministic,MATCH($C16,'Commodity inputs and calcs'!$L$28:$L$35,0),MATCH($T16,'Commodity inputs and calcs'!$N$27:$P$27,0))</f>
        <v>8.0000000000000002E-3</v>
      </c>
      <c r="X16" s="102"/>
      <c r="Y16" s="101" t="s">
        <v>86</v>
      </c>
      <c r="Z16" s="103">
        <v>1</v>
      </c>
      <c r="AA16" s="104">
        <f>M16</f>
        <v>43556</v>
      </c>
      <c r="AB16" s="104">
        <f t="shared" si="1"/>
        <v>43646</v>
      </c>
      <c r="AC16" s="101" t="s">
        <v>24</v>
      </c>
      <c r="AD16" s="101" t="str">
        <f t="shared" si="6"/>
        <v>=</v>
      </c>
      <c r="AE16" s="101" t="s">
        <v>24</v>
      </c>
      <c r="AF16" s="105" t="str">
        <f t="shared" si="4"/>
        <v>Quarterly Commodity Prices_Nov-2017dummy</v>
      </c>
    </row>
    <row r="17" spans="1:32" x14ac:dyDescent="0.2">
      <c r="A17" s="97" t="str">
        <f>'Fuel adder inputs and calcs'!C12</f>
        <v>Coal</v>
      </c>
      <c r="B17" s="97" t="str">
        <f>'Fuel adder inputs and calcs'!D12</f>
        <v>RoI</v>
      </c>
      <c r="C17" s="97" t="str">
        <f>'Fuel adder inputs and calcs'!E12&amp;'Fuel adder inputs and calcs'!F12</f>
        <v>2019Q3</v>
      </c>
      <c r="D17" s="97" t="str">
        <f>B17&amp;" "&amp;INDEX('Fixed inputs'!$D$34:$D$37,MATCH(A17,rngFuels,0))</f>
        <v>RoI Coal</v>
      </c>
      <c r="E17" s="68"/>
      <c r="G17" s="101" t="str">
        <f t="shared" si="2"/>
        <v>RoI Coal</v>
      </c>
      <c r="H17" s="101" t="s">
        <v>22</v>
      </c>
      <c r="I17" s="102">
        <f ca="1">INDEX(rngFuelPricesDeterministic,MATCH($C17,'Commodity inputs and calcs'!$L$14:$L$21,0),MATCH($A17,'Commodity inputs and calcs'!$M$13:$P$13,0))+'Fuel adder inputs and calcs'!Q12</f>
        <v>3.2004252454308362</v>
      </c>
      <c r="J17" s="102"/>
      <c r="K17" s="101" t="s">
        <v>23</v>
      </c>
      <c r="L17" s="103">
        <v>1</v>
      </c>
      <c r="M17" s="104">
        <f>INDEX('Fixed inputs'!$G$6:$G$18,MATCH(C17,'Fixed inputs'!$D$6:$D$18,0))</f>
        <v>43647</v>
      </c>
      <c r="N17" s="104">
        <f t="shared" si="0"/>
        <v>43738</v>
      </c>
      <c r="O17" s="101" t="s">
        <v>24</v>
      </c>
      <c r="P17" s="101" t="str">
        <f t="shared" si="5"/>
        <v>=</v>
      </c>
      <c r="Q17" s="101" t="s">
        <v>24</v>
      </c>
      <c r="R17" s="105" t="str">
        <f t="shared" si="3"/>
        <v>Quarterly Commodity Prices_Nov-2017dummy</v>
      </c>
      <c r="T17" s="112" t="s">
        <v>34</v>
      </c>
      <c r="U17" s="101" t="s">
        <v>10</v>
      </c>
      <c r="V17" s="101" t="s">
        <v>22</v>
      </c>
      <c r="W17" s="102">
        <f>INDEX(rngCarbonTaxDeterministic,MATCH($C17,'Commodity inputs and calcs'!$L$28:$L$35,0),MATCH($T17,'Commodity inputs and calcs'!$N$27:$P$27,0))</f>
        <v>8.0000000000000002E-3</v>
      </c>
      <c r="X17" s="102"/>
      <c r="Y17" s="101" t="s">
        <v>86</v>
      </c>
      <c r="Z17" s="103">
        <v>1</v>
      </c>
      <c r="AA17" s="104">
        <f>M17</f>
        <v>43647</v>
      </c>
      <c r="AB17" s="104">
        <f t="shared" si="1"/>
        <v>43738</v>
      </c>
      <c r="AC17" s="101" t="s">
        <v>24</v>
      </c>
      <c r="AD17" s="101" t="str">
        <f t="shared" si="6"/>
        <v>=</v>
      </c>
      <c r="AE17" s="101" t="s">
        <v>24</v>
      </c>
      <c r="AF17" s="105" t="str">
        <f t="shared" si="4"/>
        <v>Quarterly Commodity Prices_Nov-2017dummy</v>
      </c>
    </row>
    <row r="18" spans="1:32" x14ac:dyDescent="0.2">
      <c r="A18" s="97" t="str">
        <f>'Fuel adder inputs and calcs'!C13</f>
        <v>Coal</v>
      </c>
      <c r="B18" s="97" t="str">
        <f>'Fuel adder inputs and calcs'!D13</f>
        <v>RoI</v>
      </c>
      <c r="C18" s="97" t="str">
        <f>'Fuel adder inputs and calcs'!E13&amp;'Fuel adder inputs and calcs'!F13</f>
        <v>2019Q4</v>
      </c>
      <c r="D18" s="97" t="str">
        <f>B18&amp;" "&amp;INDEX('Fixed inputs'!$D$34:$D$37,MATCH(A18,rngFuels,0))</f>
        <v>RoI Coal</v>
      </c>
      <c r="E18" s="68"/>
      <c r="G18" s="101" t="str">
        <f t="shared" si="2"/>
        <v>RoI Coal</v>
      </c>
      <c r="H18" s="101" t="s">
        <v>22</v>
      </c>
      <c r="I18" s="102">
        <f ca="1">INDEX(rngFuelPricesDeterministic,MATCH($C18,'Commodity inputs and calcs'!$L$14:$L$21,0),MATCH($A18,'Commodity inputs and calcs'!$M$13:$P$13,0))+'Fuel adder inputs and calcs'!Q13</f>
        <v>3.2004252454308362</v>
      </c>
      <c r="J18" s="102"/>
      <c r="K18" s="101" t="s">
        <v>23</v>
      </c>
      <c r="L18" s="103">
        <v>1</v>
      </c>
      <c r="M18" s="104">
        <f>INDEX('Fixed inputs'!$G$6:$G$18,MATCH(C18,'Fixed inputs'!$D$6:$D$18,0))</f>
        <v>43739</v>
      </c>
      <c r="N18" s="104" t="str">
        <f t="shared" si="0"/>
        <v/>
      </c>
      <c r="O18" s="101" t="s">
        <v>24</v>
      </c>
      <c r="P18" s="101" t="str">
        <f t="shared" si="5"/>
        <v>=</v>
      </c>
      <c r="Q18" s="101" t="s">
        <v>24</v>
      </c>
      <c r="R18" s="105" t="str">
        <f t="shared" si="3"/>
        <v>Quarterly Commodity Prices_Nov-2017dummy</v>
      </c>
      <c r="T18" s="112" t="s">
        <v>34</v>
      </c>
      <c r="U18" s="101" t="s">
        <v>10</v>
      </c>
      <c r="V18" s="101" t="s">
        <v>22</v>
      </c>
      <c r="W18" s="102">
        <f>INDEX(rngCarbonTaxDeterministic,MATCH($C18,'Commodity inputs and calcs'!$L$28:$L$35,0),MATCH($T18,'Commodity inputs and calcs'!$N$27:$P$27,0))</f>
        <v>8.0000000000000002E-3</v>
      </c>
      <c r="X18" s="102"/>
      <c r="Y18" s="101" t="s">
        <v>86</v>
      </c>
      <c r="Z18" s="103">
        <v>1</v>
      </c>
      <c r="AA18" s="104">
        <f>M18</f>
        <v>43739</v>
      </c>
      <c r="AB18" s="104" t="str">
        <f t="shared" si="1"/>
        <v/>
      </c>
      <c r="AC18" s="101" t="s">
        <v>24</v>
      </c>
      <c r="AD18" s="101" t="str">
        <f t="shared" si="6"/>
        <v>=</v>
      </c>
      <c r="AE18" s="101" t="s">
        <v>24</v>
      </c>
      <c r="AF18" s="105" t="str">
        <f t="shared" si="4"/>
        <v>Quarterly Commodity Prices_Nov-2017dummy</v>
      </c>
    </row>
    <row r="19" spans="1:32" x14ac:dyDescent="0.2">
      <c r="A19" s="97" t="str">
        <f>'Fuel adder inputs and calcs'!C14</f>
        <v>Coal</v>
      </c>
      <c r="B19" s="97" t="str">
        <f>'Fuel adder inputs and calcs'!D14</f>
        <v>NI</v>
      </c>
      <c r="C19" s="97" t="str">
        <f>'Fuel adder inputs and calcs'!E14&amp;'Fuel adder inputs and calcs'!F14</f>
        <v>2018Q1</v>
      </c>
      <c r="D19" s="97" t="str">
        <f>B19&amp;" "&amp;INDEX('Fixed inputs'!$D$34:$D$37,MATCH(A19,rngFuels,0))</f>
        <v>NI Coal</v>
      </c>
      <c r="E19" s="68"/>
      <c r="G19" s="101" t="str">
        <f t="shared" si="2"/>
        <v>NI Coal</v>
      </c>
      <c r="H19" s="101" t="s">
        <v>22</v>
      </c>
      <c r="I19" s="102">
        <f ca="1">INDEX(rngFuelPricesDeterministic,MATCH($C19,'Commodity inputs and calcs'!$L$14:$L$21,0),MATCH($A19,'Commodity inputs and calcs'!$M$13:$P$13,0))+'Fuel adder inputs and calcs'!Q14</f>
        <v>3.677715464147556</v>
      </c>
      <c r="J19" s="102"/>
      <c r="K19" s="101" t="s">
        <v>23</v>
      </c>
      <c r="L19" s="103">
        <v>1</v>
      </c>
      <c r="M19" s="104">
        <f>INDEX('Fixed inputs'!$G$6:$G$18,MATCH(C19,'Fixed inputs'!$D$6:$D$18,0))</f>
        <v>43101</v>
      </c>
      <c r="N19" s="104">
        <f t="shared" si="0"/>
        <v>43190</v>
      </c>
      <c r="O19" s="101" t="s">
        <v>24</v>
      </c>
      <c r="P19" s="101" t="str">
        <f t="shared" si="5"/>
        <v>=</v>
      </c>
      <c r="Q19" s="101" t="s">
        <v>24</v>
      </c>
      <c r="R19" s="105" t="str">
        <f t="shared" si="3"/>
        <v>Quarterly Commodity Prices_Nov-2017dummy</v>
      </c>
      <c r="T19" s="112" t="s">
        <v>60</v>
      </c>
      <c r="U19" s="101" t="s">
        <v>87</v>
      </c>
      <c r="V19" s="101" t="s">
        <v>22</v>
      </c>
      <c r="W19" s="102">
        <f>INDEX(rngCarbonTaxDeterministic,MATCH($C19,'Commodity inputs and calcs'!$L$28:$L$35,0),MATCH($T19,'Commodity inputs and calcs'!$N$27:$P$27,0))</f>
        <v>2.8332197519202004E-2</v>
      </c>
      <c r="X19" s="102"/>
      <c r="Y19" s="101" t="s">
        <v>86</v>
      </c>
      <c r="Z19" s="103">
        <v>1</v>
      </c>
      <c r="AA19" s="104">
        <f>AA11</f>
        <v>43101</v>
      </c>
      <c r="AB19" s="104">
        <f t="shared" si="1"/>
        <v>43190</v>
      </c>
      <c r="AC19" s="101" t="s">
        <v>24</v>
      </c>
      <c r="AD19" s="101" t="str">
        <f t="shared" si="6"/>
        <v>=</v>
      </c>
      <c r="AE19" s="101" t="s">
        <v>24</v>
      </c>
      <c r="AF19" s="105" t="str">
        <f t="shared" si="4"/>
        <v>Quarterly Commodity Prices_Nov-2017dummy</v>
      </c>
    </row>
    <row r="20" spans="1:32" x14ac:dyDescent="0.2">
      <c r="A20" s="97" t="str">
        <f>'Fuel adder inputs and calcs'!C15</f>
        <v>Coal</v>
      </c>
      <c r="B20" s="97" t="str">
        <f>'Fuel adder inputs and calcs'!D15</f>
        <v>NI</v>
      </c>
      <c r="C20" s="97" t="str">
        <f>'Fuel adder inputs and calcs'!E15&amp;'Fuel adder inputs and calcs'!F15</f>
        <v>2018Q2</v>
      </c>
      <c r="D20" s="97" t="str">
        <f>B20&amp;" "&amp;INDEX('Fixed inputs'!$D$34:$D$37,MATCH(A20,rngFuels,0))</f>
        <v>NI Coal</v>
      </c>
      <c r="E20" s="68"/>
      <c r="G20" s="101" t="str">
        <f t="shared" si="2"/>
        <v>NI Coal</v>
      </c>
      <c r="H20" s="101" t="s">
        <v>22</v>
      </c>
      <c r="I20" s="102">
        <f ca="1">INDEX(rngFuelPricesDeterministic,MATCH($C20,'Commodity inputs and calcs'!$L$14:$L$21,0),MATCH($A20,'Commodity inputs and calcs'!$M$13:$P$13,0))+'Fuel adder inputs and calcs'!Q15</f>
        <v>3.677715464147556</v>
      </c>
      <c r="J20" s="102"/>
      <c r="K20" s="101" t="s">
        <v>23</v>
      </c>
      <c r="L20" s="103">
        <v>1</v>
      </c>
      <c r="M20" s="104">
        <f>INDEX('Fixed inputs'!$G$6:$G$18,MATCH(C20,'Fixed inputs'!$D$6:$D$18,0))</f>
        <v>43191</v>
      </c>
      <c r="N20" s="104">
        <f t="shared" si="0"/>
        <v>43281</v>
      </c>
      <c r="O20" s="101" t="s">
        <v>24</v>
      </c>
      <c r="P20" s="101" t="str">
        <f t="shared" si="5"/>
        <v>=</v>
      </c>
      <c r="Q20" s="101" t="s">
        <v>24</v>
      </c>
      <c r="R20" s="105" t="str">
        <f t="shared" si="3"/>
        <v>Quarterly Commodity Prices_Nov-2017dummy</v>
      </c>
      <c r="T20" s="112" t="s">
        <v>60</v>
      </c>
      <c r="U20" s="101" t="s">
        <v>87</v>
      </c>
      <c r="V20" s="101" t="s">
        <v>22</v>
      </c>
      <c r="W20" s="102">
        <f>INDEX(rngCarbonTaxDeterministic,MATCH($C20,'Commodity inputs and calcs'!$L$28:$L$35,0),MATCH($T20,'Commodity inputs and calcs'!$N$27:$P$27,0))</f>
        <v>2.8332197519202004E-2</v>
      </c>
      <c r="X20" s="102"/>
      <c r="Y20" s="101" t="s">
        <v>86</v>
      </c>
      <c r="Z20" s="103">
        <v>1</v>
      </c>
      <c r="AA20" s="104">
        <f t="shared" ref="AA20:AA26" si="7">AA12</f>
        <v>43191</v>
      </c>
      <c r="AB20" s="104">
        <f t="shared" si="1"/>
        <v>43281</v>
      </c>
      <c r="AC20" s="101" t="s">
        <v>24</v>
      </c>
      <c r="AD20" s="101" t="str">
        <f t="shared" si="6"/>
        <v>=</v>
      </c>
      <c r="AE20" s="101" t="s">
        <v>24</v>
      </c>
      <c r="AF20" s="105" t="str">
        <f t="shared" si="4"/>
        <v>Quarterly Commodity Prices_Nov-2017dummy</v>
      </c>
    </row>
    <row r="21" spans="1:32" x14ac:dyDescent="0.2">
      <c r="A21" s="97" t="str">
        <f>'Fuel adder inputs and calcs'!C16</f>
        <v>Coal</v>
      </c>
      <c r="B21" s="97" t="str">
        <f>'Fuel adder inputs and calcs'!D16</f>
        <v>NI</v>
      </c>
      <c r="C21" s="97" t="str">
        <f>'Fuel adder inputs and calcs'!E16&amp;'Fuel adder inputs and calcs'!F16</f>
        <v>2018Q3</v>
      </c>
      <c r="D21" s="97" t="str">
        <f>B21&amp;" "&amp;INDEX('Fixed inputs'!$D$34:$D$37,MATCH(A21,rngFuels,0))</f>
        <v>NI Coal</v>
      </c>
      <c r="E21" s="68"/>
      <c r="G21" s="101" t="str">
        <f t="shared" si="2"/>
        <v>NI Coal</v>
      </c>
      <c r="H21" s="101" t="s">
        <v>22</v>
      </c>
      <c r="I21" s="102">
        <f ca="1">INDEX(rngFuelPricesDeterministic,MATCH($C21,'Commodity inputs and calcs'!$L$14:$L$21,0),MATCH($A21,'Commodity inputs and calcs'!$M$13:$P$13,0))+'Fuel adder inputs and calcs'!Q16</f>
        <v>3.677715464147556</v>
      </c>
      <c r="J21" s="102"/>
      <c r="K21" s="101" t="s">
        <v>23</v>
      </c>
      <c r="L21" s="103">
        <v>1</v>
      </c>
      <c r="M21" s="104">
        <f>INDEX('Fixed inputs'!$G$6:$G$18,MATCH(C21,'Fixed inputs'!$D$6:$D$18,0))</f>
        <v>43282</v>
      </c>
      <c r="N21" s="104">
        <f t="shared" si="0"/>
        <v>43373</v>
      </c>
      <c r="O21" s="101" t="s">
        <v>24</v>
      </c>
      <c r="P21" s="101" t="str">
        <f t="shared" si="5"/>
        <v>=</v>
      </c>
      <c r="Q21" s="101" t="s">
        <v>24</v>
      </c>
      <c r="R21" s="105" t="str">
        <f t="shared" si="3"/>
        <v>Quarterly Commodity Prices_Nov-2017dummy</v>
      </c>
      <c r="T21" s="112" t="s">
        <v>60</v>
      </c>
      <c r="U21" s="101" t="s">
        <v>87</v>
      </c>
      <c r="V21" s="101" t="s">
        <v>22</v>
      </c>
      <c r="W21" s="102">
        <f>INDEX(rngCarbonTaxDeterministic,MATCH($C21,'Commodity inputs and calcs'!$L$28:$L$35,0),MATCH($T21,'Commodity inputs and calcs'!$N$27:$P$27,0))</f>
        <v>2.8332197519202004E-2</v>
      </c>
      <c r="X21" s="102"/>
      <c r="Y21" s="101" t="s">
        <v>86</v>
      </c>
      <c r="Z21" s="103">
        <v>1</v>
      </c>
      <c r="AA21" s="104">
        <f t="shared" si="7"/>
        <v>43282</v>
      </c>
      <c r="AB21" s="104">
        <f t="shared" si="1"/>
        <v>43373</v>
      </c>
      <c r="AC21" s="101" t="s">
        <v>24</v>
      </c>
      <c r="AD21" s="101" t="str">
        <f t="shared" si="6"/>
        <v>=</v>
      </c>
      <c r="AE21" s="101" t="s">
        <v>24</v>
      </c>
      <c r="AF21" s="105" t="str">
        <f t="shared" si="4"/>
        <v>Quarterly Commodity Prices_Nov-2017dummy</v>
      </c>
    </row>
    <row r="22" spans="1:32" x14ac:dyDescent="0.2">
      <c r="A22" s="97" t="str">
        <f>'Fuel adder inputs and calcs'!C17</f>
        <v>Coal</v>
      </c>
      <c r="B22" s="97" t="str">
        <f>'Fuel adder inputs and calcs'!D17</f>
        <v>NI</v>
      </c>
      <c r="C22" s="97" t="str">
        <f>'Fuel adder inputs and calcs'!E17&amp;'Fuel adder inputs and calcs'!F17</f>
        <v>2018Q4</v>
      </c>
      <c r="D22" s="97" t="str">
        <f>B22&amp;" "&amp;INDEX('Fixed inputs'!$D$34:$D$37,MATCH(A22,rngFuels,0))</f>
        <v>NI Coal</v>
      </c>
      <c r="E22" s="68"/>
      <c r="G22" s="101" t="str">
        <f t="shared" si="2"/>
        <v>NI Coal</v>
      </c>
      <c r="H22" s="101" t="s">
        <v>22</v>
      </c>
      <c r="I22" s="102">
        <f ca="1">INDEX(rngFuelPricesDeterministic,MATCH($C22,'Commodity inputs and calcs'!$L$14:$L$21,0),MATCH($A22,'Commodity inputs and calcs'!$M$13:$P$13,0))+'Fuel adder inputs and calcs'!Q17</f>
        <v>3.677715464147556</v>
      </c>
      <c r="J22" s="102"/>
      <c r="K22" s="101" t="s">
        <v>23</v>
      </c>
      <c r="L22" s="103">
        <v>1</v>
      </c>
      <c r="M22" s="104">
        <f>INDEX('Fixed inputs'!$G$6:$G$18,MATCH(C22,'Fixed inputs'!$D$6:$D$18,0))</f>
        <v>43374</v>
      </c>
      <c r="N22" s="104">
        <f t="shared" si="0"/>
        <v>43465</v>
      </c>
      <c r="O22" s="101" t="s">
        <v>24</v>
      </c>
      <c r="P22" s="101" t="str">
        <f t="shared" si="5"/>
        <v>=</v>
      </c>
      <c r="Q22" s="101" t="s">
        <v>24</v>
      </c>
      <c r="R22" s="105" t="str">
        <f t="shared" si="3"/>
        <v>Quarterly Commodity Prices_Nov-2017dummy</v>
      </c>
      <c r="T22" s="112" t="s">
        <v>60</v>
      </c>
      <c r="U22" s="101" t="s">
        <v>87</v>
      </c>
      <c r="V22" s="101" t="s">
        <v>22</v>
      </c>
      <c r="W22" s="102">
        <f>INDEX(rngCarbonTaxDeterministic,MATCH($C22,'Commodity inputs and calcs'!$L$28:$L$35,0),MATCH($T22,'Commodity inputs and calcs'!$N$27:$P$27,0))</f>
        <v>2.8332197519202004E-2</v>
      </c>
      <c r="X22" s="102"/>
      <c r="Y22" s="101" t="s">
        <v>86</v>
      </c>
      <c r="Z22" s="103">
        <v>1</v>
      </c>
      <c r="AA22" s="104">
        <f t="shared" si="7"/>
        <v>43374</v>
      </c>
      <c r="AB22" s="104">
        <f t="shared" si="1"/>
        <v>43465</v>
      </c>
      <c r="AC22" s="101" t="s">
        <v>24</v>
      </c>
      <c r="AD22" s="101" t="str">
        <f t="shared" si="6"/>
        <v>=</v>
      </c>
      <c r="AE22" s="101" t="s">
        <v>24</v>
      </c>
      <c r="AF22" s="105" t="str">
        <f t="shared" si="4"/>
        <v>Quarterly Commodity Prices_Nov-2017dummy</v>
      </c>
    </row>
    <row r="23" spans="1:32" x14ac:dyDescent="0.2">
      <c r="A23" s="97" t="str">
        <f>'Fuel adder inputs and calcs'!C18</f>
        <v>Coal</v>
      </c>
      <c r="B23" s="97" t="str">
        <f>'Fuel adder inputs and calcs'!D18</f>
        <v>NI</v>
      </c>
      <c r="C23" s="97" t="str">
        <f>'Fuel adder inputs and calcs'!E18&amp;'Fuel adder inputs and calcs'!F18</f>
        <v>2019Q1</v>
      </c>
      <c r="D23" s="97" t="str">
        <f>B23&amp;" "&amp;INDEX('Fixed inputs'!$D$34:$D$37,MATCH(A23,rngFuels,0))</f>
        <v>NI Coal</v>
      </c>
      <c r="E23" s="68"/>
      <c r="G23" s="101" t="str">
        <f t="shared" si="2"/>
        <v>NI Coal</v>
      </c>
      <c r="H23" s="101" t="s">
        <v>22</v>
      </c>
      <c r="I23" s="102">
        <f ca="1">INDEX(rngFuelPricesDeterministic,MATCH($C23,'Commodity inputs and calcs'!$L$14:$L$21,0),MATCH($A23,'Commodity inputs and calcs'!$M$13:$P$13,0))+'Fuel adder inputs and calcs'!Q18</f>
        <v>3.677715464147556</v>
      </c>
      <c r="J23" s="102"/>
      <c r="K23" s="101" t="s">
        <v>23</v>
      </c>
      <c r="L23" s="103">
        <v>1</v>
      </c>
      <c r="M23" s="104">
        <f>INDEX('Fixed inputs'!$G$6:$G$18,MATCH(C23,'Fixed inputs'!$D$6:$D$18,0))</f>
        <v>43466</v>
      </c>
      <c r="N23" s="104">
        <f t="shared" si="0"/>
        <v>43555</v>
      </c>
      <c r="O23" s="101" t="s">
        <v>24</v>
      </c>
      <c r="P23" s="101" t="str">
        <f t="shared" si="5"/>
        <v>=</v>
      </c>
      <c r="Q23" s="101" t="s">
        <v>24</v>
      </c>
      <c r="R23" s="105" t="str">
        <f t="shared" si="3"/>
        <v>Quarterly Commodity Prices_Nov-2017dummy</v>
      </c>
      <c r="T23" s="112" t="s">
        <v>60</v>
      </c>
      <c r="U23" s="101" t="s">
        <v>87</v>
      </c>
      <c r="V23" s="101" t="s">
        <v>22</v>
      </c>
      <c r="W23" s="102">
        <f>INDEX(rngCarbonTaxDeterministic,MATCH($C23,'Commodity inputs and calcs'!$L$28:$L$35,0),MATCH($T23,'Commodity inputs and calcs'!$N$27:$P$27,0))</f>
        <v>2.8332197519202004E-2</v>
      </c>
      <c r="X23" s="102"/>
      <c r="Y23" s="101" t="s">
        <v>86</v>
      </c>
      <c r="Z23" s="103">
        <v>1</v>
      </c>
      <c r="AA23" s="104">
        <f t="shared" si="7"/>
        <v>43466</v>
      </c>
      <c r="AB23" s="104">
        <f t="shared" si="1"/>
        <v>43555</v>
      </c>
      <c r="AC23" s="101" t="s">
        <v>24</v>
      </c>
      <c r="AD23" s="101" t="str">
        <f t="shared" si="6"/>
        <v>=</v>
      </c>
      <c r="AE23" s="101" t="s">
        <v>24</v>
      </c>
      <c r="AF23" s="105" t="str">
        <f t="shared" si="4"/>
        <v>Quarterly Commodity Prices_Nov-2017dummy</v>
      </c>
    </row>
    <row r="24" spans="1:32" x14ac:dyDescent="0.2">
      <c r="A24" s="97" t="str">
        <f>'Fuel adder inputs and calcs'!C19</f>
        <v>Coal</v>
      </c>
      <c r="B24" s="97" t="str">
        <f>'Fuel adder inputs and calcs'!D19</f>
        <v>NI</v>
      </c>
      <c r="C24" s="97" t="str">
        <f>'Fuel adder inputs and calcs'!E19&amp;'Fuel adder inputs and calcs'!F19</f>
        <v>2019Q2</v>
      </c>
      <c r="D24" s="97" t="str">
        <f>B24&amp;" "&amp;INDEX('Fixed inputs'!$D$34:$D$37,MATCH(A24,rngFuels,0))</f>
        <v>NI Coal</v>
      </c>
      <c r="E24" s="68"/>
      <c r="G24" s="101" t="str">
        <f t="shared" si="2"/>
        <v>NI Coal</v>
      </c>
      <c r="H24" s="101" t="s">
        <v>22</v>
      </c>
      <c r="I24" s="102">
        <f ca="1">INDEX(rngFuelPricesDeterministic,MATCH($C24,'Commodity inputs and calcs'!$L$14:$L$21,0),MATCH($A24,'Commodity inputs and calcs'!$M$13:$P$13,0))+'Fuel adder inputs and calcs'!Q19</f>
        <v>3.677715464147556</v>
      </c>
      <c r="J24" s="102"/>
      <c r="K24" s="101" t="s">
        <v>23</v>
      </c>
      <c r="L24" s="103">
        <v>1</v>
      </c>
      <c r="M24" s="104">
        <f>INDEX('Fixed inputs'!$G$6:$G$18,MATCH(C24,'Fixed inputs'!$D$6:$D$18,0))</f>
        <v>43556</v>
      </c>
      <c r="N24" s="104">
        <f t="shared" si="0"/>
        <v>43646</v>
      </c>
      <c r="O24" s="101" t="s">
        <v>24</v>
      </c>
      <c r="P24" s="101" t="str">
        <f t="shared" si="5"/>
        <v>=</v>
      </c>
      <c r="Q24" s="101" t="s">
        <v>24</v>
      </c>
      <c r="R24" s="105" t="str">
        <f t="shared" si="3"/>
        <v>Quarterly Commodity Prices_Nov-2017dummy</v>
      </c>
      <c r="T24" s="112" t="s">
        <v>60</v>
      </c>
      <c r="U24" s="101" t="s">
        <v>87</v>
      </c>
      <c r="V24" s="101" t="s">
        <v>22</v>
      </c>
      <c r="W24" s="102">
        <f>INDEX(rngCarbonTaxDeterministic,MATCH($C24,'Commodity inputs and calcs'!$L$28:$L$35,0),MATCH($T24,'Commodity inputs and calcs'!$N$27:$P$27,0))</f>
        <v>2.8332197519202004E-2</v>
      </c>
      <c r="X24" s="102"/>
      <c r="Y24" s="101" t="s">
        <v>86</v>
      </c>
      <c r="Z24" s="103">
        <v>1</v>
      </c>
      <c r="AA24" s="104">
        <f t="shared" si="7"/>
        <v>43556</v>
      </c>
      <c r="AB24" s="104">
        <f t="shared" si="1"/>
        <v>43646</v>
      </c>
      <c r="AC24" s="101" t="s">
        <v>24</v>
      </c>
      <c r="AD24" s="101" t="str">
        <f t="shared" si="6"/>
        <v>=</v>
      </c>
      <c r="AE24" s="101" t="s">
        <v>24</v>
      </c>
      <c r="AF24" s="105" t="str">
        <f t="shared" si="4"/>
        <v>Quarterly Commodity Prices_Nov-2017dummy</v>
      </c>
    </row>
    <row r="25" spans="1:32" x14ac:dyDescent="0.2">
      <c r="A25" s="97" t="str">
        <f>'Fuel adder inputs and calcs'!C20</f>
        <v>Coal</v>
      </c>
      <c r="B25" s="97" t="str">
        <f>'Fuel adder inputs and calcs'!D20</f>
        <v>NI</v>
      </c>
      <c r="C25" s="97" t="str">
        <f>'Fuel adder inputs and calcs'!E20&amp;'Fuel adder inputs and calcs'!F20</f>
        <v>2019Q3</v>
      </c>
      <c r="D25" s="97" t="str">
        <f>B25&amp;" "&amp;INDEX('Fixed inputs'!$D$34:$D$37,MATCH(A25,rngFuels,0))</f>
        <v>NI Coal</v>
      </c>
      <c r="E25" s="68"/>
      <c r="G25" s="101" t="str">
        <f t="shared" si="2"/>
        <v>NI Coal</v>
      </c>
      <c r="H25" s="101" t="s">
        <v>22</v>
      </c>
      <c r="I25" s="102">
        <f ca="1">INDEX(rngFuelPricesDeterministic,MATCH($C25,'Commodity inputs and calcs'!$L$14:$L$21,0),MATCH($A25,'Commodity inputs and calcs'!$M$13:$P$13,0))+'Fuel adder inputs and calcs'!Q20</f>
        <v>3.677715464147556</v>
      </c>
      <c r="J25" s="102"/>
      <c r="K25" s="101" t="s">
        <v>23</v>
      </c>
      <c r="L25" s="103">
        <v>1</v>
      </c>
      <c r="M25" s="104">
        <f>INDEX('Fixed inputs'!$G$6:$G$18,MATCH(C25,'Fixed inputs'!$D$6:$D$18,0))</f>
        <v>43647</v>
      </c>
      <c r="N25" s="104">
        <f t="shared" si="0"/>
        <v>43738</v>
      </c>
      <c r="O25" s="101" t="s">
        <v>24</v>
      </c>
      <c r="P25" s="101" t="str">
        <f t="shared" si="5"/>
        <v>=</v>
      </c>
      <c r="Q25" s="101" t="s">
        <v>24</v>
      </c>
      <c r="R25" s="105" t="str">
        <f t="shared" si="3"/>
        <v>Quarterly Commodity Prices_Nov-2017dummy</v>
      </c>
      <c r="T25" s="112" t="s">
        <v>60</v>
      </c>
      <c r="U25" s="101" t="s">
        <v>87</v>
      </c>
      <c r="V25" s="101" t="s">
        <v>22</v>
      </c>
      <c r="W25" s="102">
        <f>INDEX(rngCarbonTaxDeterministic,MATCH($C25,'Commodity inputs and calcs'!$L$28:$L$35,0),MATCH($T25,'Commodity inputs and calcs'!$N$27:$P$27,0))</f>
        <v>2.8332197519202004E-2</v>
      </c>
      <c r="X25" s="102"/>
      <c r="Y25" s="101" t="s">
        <v>86</v>
      </c>
      <c r="Z25" s="103">
        <v>1</v>
      </c>
      <c r="AA25" s="104">
        <f t="shared" si="7"/>
        <v>43647</v>
      </c>
      <c r="AB25" s="104">
        <f t="shared" si="1"/>
        <v>43738</v>
      </c>
      <c r="AC25" s="101" t="s">
        <v>24</v>
      </c>
      <c r="AD25" s="101" t="str">
        <f t="shared" si="6"/>
        <v>=</v>
      </c>
      <c r="AE25" s="101" t="s">
        <v>24</v>
      </c>
      <c r="AF25" s="105" t="str">
        <f t="shared" si="4"/>
        <v>Quarterly Commodity Prices_Nov-2017dummy</v>
      </c>
    </row>
    <row r="26" spans="1:32" x14ac:dyDescent="0.2">
      <c r="A26" s="97" t="str">
        <f>'Fuel adder inputs and calcs'!C21</f>
        <v>Coal</v>
      </c>
      <c r="B26" s="97" t="str">
        <f>'Fuel adder inputs and calcs'!D21</f>
        <v>NI</v>
      </c>
      <c r="C26" s="97" t="str">
        <f>'Fuel adder inputs and calcs'!E21&amp;'Fuel adder inputs and calcs'!F21</f>
        <v>2019Q4</v>
      </c>
      <c r="D26" s="97" t="str">
        <f>B26&amp;" "&amp;INDEX('Fixed inputs'!$D$34:$D$37,MATCH(A26,rngFuels,0))</f>
        <v>NI Coal</v>
      </c>
      <c r="E26" s="68"/>
      <c r="G26" s="101" t="str">
        <f t="shared" si="2"/>
        <v>NI Coal</v>
      </c>
      <c r="H26" s="101" t="s">
        <v>22</v>
      </c>
      <c r="I26" s="102">
        <f ca="1">INDEX(rngFuelPricesDeterministic,MATCH($C26,'Commodity inputs and calcs'!$L$14:$L$21,0),MATCH($A26,'Commodity inputs and calcs'!$M$13:$P$13,0))+'Fuel adder inputs and calcs'!Q21</f>
        <v>3.677715464147556</v>
      </c>
      <c r="J26" s="102"/>
      <c r="K26" s="101" t="s">
        <v>23</v>
      </c>
      <c r="L26" s="103">
        <v>1</v>
      </c>
      <c r="M26" s="104">
        <f>INDEX('Fixed inputs'!$G$6:$G$18,MATCH(C26,'Fixed inputs'!$D$6:$D$18,0))</f>
        <v>43739</v>
      </c>
      <c r="N26" s="104" t="str">
        <f t="shared" si="0"/>
        <v/>
      </c>
      <c r="O26" s="101" t="s">
        <v>24</v>
      </c>
      <c r="P26" s="101" t="str">
        <f t="shared" si="5"/>
        <v>=</v>
      </c>
      <c r="Q26" s="101" t="s">
        <v>24</v>
      </c>
      <c r="R26" s="105" t="str">
        <f t="shared" si="3"/>
        <v>Quarterly Commodity Prices_Nov-2017dummy</v>
      </c>
      <c r="T26" s="112" t="s">
        <v>60</v>
      </c>
      <c r="U26" s="101" t="s">
        <v>87</v>
      </c>
      <c r="V26" s="101" t="s">
        <v>22</v>
      </c>
      <c r="W26" s="102">
        <f>INDEX(rngCarbonTaxDeterministic,MATCH($C26,'Commodity inputs and calcs'!$L$28:$L$35,0),MATCH($T26,'Commodity inputs and calcs'!$N$27:$P$27,0))</f>
        <v>2.8332197519202004E-2</v>
      </c>
      <c r="X26" s="102"/>
      <c r="Y26" s="101" t="s">
        <v>86</v>
      </c>
      <c r="Z26" s="103">
        <v>1</v>
      </c>
      <c r="AA26" s="104">
        <f t="shared" si="7"/>
        <v>43739</v>
      </c>
      <c r="AB26" s="104" t="str">
        <f t="shared" si="1"/>
        <v/>
      </c>
      <c r="AC26" s="101" t="s">
        <v>24</v>
      </c>
      <c r="AD26" s="101" t="str">
        <f t="shared" si="6"/>
        <v>=</v>
      </c>
      <c r="AE26" s="101" t="s">
        <v>24</v>
      </c>
      <c r="AF26" s="105" t="str">
        <f t="shared" si="4"/>
        <v>Quarterly Commodity Prices_Nov-2017dummy</v>
      </c>
    </row>
    <row r="27" spans="1:32" x14ac:dyDescent="0.2">
      <c r="A27" s="97" t="str">
        <f>'Fuel adder inputs and calcs'!C22</f>
        <v>Gas</v>
      </c>
      <c r="B27" s="97" t="str">
        <f>'Fuel adder inputs and calcs'!D22</f>
        <v>RoI</v>
      </c>
      <c r="C27" s="97" t="str">
        <f>'Fuel adder inputs and calcs'!E22&amp;'Fuel adder inputs and calcs'!F22</f>
        <v>2018Q1</v>
      </c>
      <c r="D27" s="97" t="str">
        <f>B27&amp;" "&amp;INDEX('Fixed inputs'!$D$34:$D$37,MATCH(A27,rngFuels,0))</f>
        <v>RoI Gas</v>
      </c>
      <c r="E27" s="68"/>
      <c r="F27" s="150"/>
      <c r="G27" s="101" t="str">
        <f t="shared" si="2"/>
        <v>RoI Gas</v>
      </c>
      <c r="H27" s="101" t="s">
        <v>22</v>
      </c>
      <c r="I27" s="102">
        <f ca="1">INDEX(rngFuelPricesDeterministic,MATCH($C27,'Commodity inputs and calcs'!$L$14:$L$21,0),MATCH($A27,'Commodity inputs and calcs'!$M$13:$P$13,0))+'Fuel adder inputs and calcs'!Q22</f>
        <v>6.278852287007485</v>
      </c>
      <c r="J27" s="102"/>
      <c r="K27" s="101" t="s">
        <v>23</v>
      </c>
      <c r="L27" s="103">
        <v>1</v>
      </c>
      <c r="M27" s="104">
        <f>INDEX('Fixed inputs'!$G$6:$G$18,MATCH(C27,'Fixed inputs'!$D$6:$D$18,0))</f>
        <v>43101</v>
      </c>
      <c r="N27" s="104">
        <f t="shared" si="0"/>
        <v>43190</v>
      </c>
      <c r="O27" s="101" t="s">
        <v>24</v>
      </c>
      <c r="P27" s="101" t="str">
        <f t="shared" si="5"/>
        <v>=</v>
      </c>
      <c r="Q27" s="101" t="s">
        <v>24</v>
      </c>
      <c r="R27" s="105" t="str">
        <f t="shared" si="3"/>
        <v>Quarterly Commodity Prices_Nov-2017dummy</v>
      </c>
      <c r="T27" s="112" t="s">
        <v>34</v>
      </c>
      <c r="U27" s="101" t="s">
        <v>10</v>
      </c>
      <c r="V27" s="101" t="s">
        <v>88</v>
      </c>
      <c r="W27" s="102">
        <f>INDEX(rngCarbonTaxDeterministic,MATCH($C27,'Commodity inputs and calcs'!$L$28:$L$35,0),MATCH($T27,'Commodity inputs and calcs'!$N$27:$P$27,0))</f>
        <v>8.0000000000000002E-3</v>
      </c>
      <c r="X27" s="102"/>
      <c r="Y27" s="101" t="s">
        <v>86</v>
      </c>
      <c r="Z27" s="103">
        <v>1</v>
      </c>
      <c r="AA27" s="104">
        <f>AA11</f>
        <v>43101</v>
      </c>
      <c r="AB27" s="104">
        <f t="shared" si="1"/>
        <v>43190</v>
      </c>
      <c r="AC27" s="101" t="s">
        <v>24</v>
      </c>
      <c r="AD27" s="101" t="str">
        <f t="shared" si="6"/>
        <v>=</v>
      </c>
      <c r="AE27" s="101" t="s">
        <v>24</v>
      </c>
      <c r="AF27" s="105" t="str">
        <f t="shared" si="4"/>
        <v>Quarterly Commodity Prices_Nov-2017dummy</v>
      </c>
    </row>
    <row r="28" spans="1:32" x14ac:dyDescent="0.2">
      <c r="A28" s="97" t="str">
        <f>'Fuel adder inputs and calcs'!C23</f>
        <v>Gas</v>
      </c>
      <c r="B28" s="97" t="str">
        <f>'Fuel adder inputs and calcs'!D23</f>
        <v>RoI</v>
      </c>
      <c r="C28" s="97" t="str">
        <f>'Fuel adder inputs and calcs'!E23&amp;'Fuel adder inputs and calcs'!F23</f>
        <v>2018Q2</v>
      </c>
      <c r="D28" s="97" t="str">
        <f>B28&amp;" "&amp;INDEX('Fixed inputs'!$D$34:$D$37,MATCH(A28,rngFuels,0))</f>
        <v>RoI Gas</v>
      </c>
      <c r="E28" s="68"/>
      <c r="F28" s="150"/>
      <c r="G28" s="101" t="str">
        <f t="shared" si="2"/>
        <v>RoI Gas</v>
      </c>
      <c r="H28" s="101" t="s">
        <v>22</v>
      </c>
      <c r="I28" s="102">
        <f ca="1">INDEX(rngFuelPricesDeterministic,MATCH($C28,'Commodity inputs and calcs'!$L$14:$L$21,0),MATCH($A28,'Commodity inputs and calcs'!$M$13:$P$13,0))+'Fuel adder inputs and calcs'!Q23</f>
        <v>5.4498302104438885</v>
      </c>
      <c r="J28" s="102"/>
      <c r="K28" s="101" t="s">
        <v>23</v>
      </c>
      <c r="L28" s="103">
        <v>1</v>
      </c>
      <c r="M28" s="104">
        <f>INDEX('Fixed inputs'!$G$6:$G$18,MATCH(C28,'Fixed inputs'!$D$6:$D$18,0))</f>
        <v>43191</v>
      </c>
      <c r="N28" s="104">
        <f t="shared" si="0"/>
        <v>43281</v>
      </c>
      <c r="O28" s="101" t="s">
        <v>24</v>
      </c>
      <c r="P28" s="101" t="str">
        <f t="shared" si="5"/>
        <v>=</v>
      </c>
      <c r="Q28" s="101" t="s">
        <v>24</v>
      </c>
      <c r="R28" s="105" t="str">
        <f t="shared" si="3"/>
        <v>Quarterly Commodity Prices_Nov-2017dummy</v>
      </c>
      <c r="T28" s="112" t="s">
        <v>34</v>
      </c>
      <c r="U28" s="101" t="s">
        <v>10</v>
      </c>
      <c r="V28" s="101" t="s">
        <v>88</v>
      </c>
      <c r="W28" s="102">
        <f>INDEX(rngCarbonTaxDeterministic,MATCH($C28,'Commodity inputs and calcs'!$L$28:$L$35,0),MATCH($T28,'Commodity inputs and calcs'!$N$27:$P$27,0))</f>
        <v>8.0000000000000002E-3</v>
      </c>
      <c r="X28" s="102"/>
      <c r="Y28" s="101" t="s">
        <v>86</v>
      </c>
      <c r="Z28" s="103">
        <v>1</v>
      </c>
      <c r="AA28" s="104">
        <f t="shared" ref="AA28:AA42" si="8">AA12</f>
        <v>43191</v>
      </c>
      <c r="AB28" s="104">
        <f t="shared" si="1"/>
        <v>43281</v>
      </c>
      <c r="AC28" s="101" t="s">
        <v>24</v>
      </c>
      <c r="AD28" s="101" t="str">
        <f t="shared" si="6"/>
        <v>=</v>
      </c>
      <c r="AE28" s="101" t="s">
        <v>24</v>
      </c>
      <c r="AF28" s="105" t="str">
        <f t="shared" si="4"/>
        <v>Quarterly Commodity Prices_Nov-2017dummy</v>
      </c>
    </row>
    <row r="29" spans="1:32" x14ac:dyDescent="0.2">
      <c r="A29" s="97" t="str">
        <f>'Fuel adder inputs and calcs'!C24</f>
        <v>Gas</v>
      </c>
      <c r="B29" s="97" t="str">
        <f>'Fuel adder inputs and calcs'!D24</f>
        <v>RoI</v>
      </c>
      <c r="C29" s="97" t="str">
        <f>'Fuel adder inputs and calcs'!E24&amp;'Fuel adder inputs and calcs'!F24</f>
        <v>2018Q3</v>
      </c>
      <c r="D29" s="97" t="str">
        <f>B29&amp;" "&amp;INDEX('Fixed inputs'!$D$34:$D$37,MATCH(A29,rngFuels,0))</f>
        <v>RoI Gas</v>
      </c>
      <c r="E29" s="68"/>
      <c r="F29" s="150"/>
      <c r="G29" s="101" t="str">
        <f t="shared" si="2"/>
        <v>RoI Gas</v>
      </c>
      <c r="H29" s="101" t="s">
        <v>22</v>
      </c>
      <c r="I29" s="102">
        <f ca="1">INDEX(rngFuelPricesDeterministic,MATCH($C29,'Commodity inputs and calcs'!$L$14:$L$21,0),MATCH($A29,'Commodity inputs and calcs'!$M$13:$P$13,0))+'Fuel adder inputs and calcs'!Q24</f>
        <v>5.4498302104438885</v>
      </c>
      <c r="J29" s="102"/>
      <c r="K29" s="101" t="s">
        <v>23</v>
      </c>
      <c r="L29" s="103">
        <v>1</v>
      </c>
      <c r="M29" s="104">
        <f>INDEX('Fixed inputs'!$G$6:$G$18,MATCH(C29,'Fixed inputs'!$D$6:$D$18,0))</f>
        <v>43282</v>
      </c>
      <c r="N29" s="104">
        <f t="shared" si="0"/>
        <v>43373</v>
      </c>
      <c r="O29" s="101" t="s">
        <v>24</v>
      </c>
      <c r="P29" s="101" t="str">
        <f t="shared" si="5"/>
        <v>=</v>
      </c>
      <c r="Q29" s="101" t="s">
        <v>24</v>
      </c>
      <c r="R29" s="105" t="str">
        <f t="shared" si="3"/>
        <v>Quarterly Commodity Prices_Nov-2017dummy</v>
      </c>
      <c r="T29" s="112" t="s">
        <v>34</v>
      </c>
      <c r="U29" s="101" t="s">
        <v>10</v>
      </c>
      <c r="V29" s="101" t="s">
        <v>88</v>
      </c>
      <c r="W29" s="102">
        <f>INDEX(rngCarbonTaxDeterministic,MATCH($C29,'Commodity inputs and calcs'!$L$28:$L$35,0),MATCH($T29,'Commodity inputs and calcs'!$N$27:$P$27,0))</f>
        <v>8.0000000000000002E-3</v>
      </c>
      <c r="X29" s="102"/>
      <c r="Y29" s="101" t="s">
        <v>86</v>
      </c>
      <c r="Z29" s="103">
        <v>1</v>
      </c>
      <c r="AA29" s="104">
        <f t="shared" si="8"/>
        <v>43282</v>
      </c>
      <c r="AB29" s="104">
        <f t="shared" si="1"/>
        <v>43373</v>
      </c>
      <c r="AC29" s="101" t="s">
        <v>24</v>
      </c>
      <c r="AD29" s="101" t="str">
        <f t="shared" si="6"/>
        <v>=</v>
      </c>
      <c r="AE29" s="101" t="s">
        <v>24</v>
      </c>
      <c r="AF29" s="105" t="str">
        <f t="shared" si="4"/>
        <v>Quarterly Commodity Prices_Nov-2017dummy</v>
      </c>
    </row>
    <row r="30" spans="1:32" x14ac:dyDescent="0.2">
      <c r="A30" s="97" t="str">
        <f>'Fuel adder inputs and calcs'!C25</f>
        <v>Gas</v>
      </c>
      <c r="B30" s="97" t="str">
        <f>'Fuel adder inputs and calcs'!D25</f>
        <v>RoI</v>
      </c>
      <c r="C30" s="97" t="str">
        <f>'Fuel adder inputs and calcs'!E25&amp;'Fuel adder inputs and calcs'!F25</f>
        <v>2018Q4</v>
      </c>
      <c r="D30" s="97" t="str">
        <f>B30&amp;" "&amp;INDEX('Fixed inputs'!$D$34:$D$37,MATCH(A30,rngFuels,0))</f>
        <v>RoI Gas</v>
      </c>
      <c r="E30" s="68"/>
      <c r="F30" s="150"/>
      <c r="G30" s="101" t="str">
        <f t="shared" si="2"/>
        <v>RoI Gas</v>
      </c>
      <c r="H30" s="101" t="s">
        <v>22</v>
      </c>
      <c r="I30" s="102">
        <f ca="1">INDEX(rngFuelPricesDeterministic,MATCH($C30,'Commodity inputs and calcs'!$L$14:$L$21,0),MATCH($A30,'Commodity inputs and calcs'!$M$13:$P$13,0))+'Fuel adder inputs and calcs'!Q25</f>
        <v>6.278852287007485</v>
      </c>
      <c r="J30" s="102"/>
      <c r="K30" s="101" t="s">
        <v>23</v>
      </c>
      <c r="L30" s="103">
        <v>1</v>
      </c>
      <c r="M30" s="104">
        <f>INDEX('Fixed inputs'!$G$6:$G$18,MATCH(C30,'Fixed inputs'!$D$6:$D$18,0))</f>
        <v>43374</v>
      </c>
      <c r="N30" s="104">
        <f t="shared" si="0"/>
        <v>43465</v>
      </c>
      <c r="O30" s="101" t="s">
        <v>24</v>
      </c>
      <c r="P30" s="101" t="str">
        <f t="shared" si="5"/>
        <v>=</v>
      </c>
      <c r="Q30" s="101" t="s">
        <v>24</v>
      </c>
      <c r="R30" s="105" t="str">
        <f t="shared" si="3"/>
        <v>Quarterly Commodity Prices_Nov-2017dummy</v>
      </c>
      <c r="T30" s="112" t="s">
        <v>34</v>
      </c>
      <c r="U30" s="101" t="s">
        <v>10</v>
      </c>
      <c r="V30" s="101" t="s">
        <v>88</v>
      </c>
      <c r="W30" s="102">
        <f>INDEX(rngCarbonTaxDeterministic,MATCH($C30,'Commodity inputs and calcs'!$L$28:$L$35,0),MATCH($T30,'Commodity inputs and calcs'!$N$27:$P$27,0))</f>
        <v>8.0000000000000002E-3</v>
      </c>
      <c r="X30" s="102"/>
      <c r="Y30" s="101" t="s">
        <v>86</v>
      </c>
      <c r="Z30" s="103">
        <v>1</v>
      </c>
      <c r="AA30" s="104">
        <f t="shared" si="8"/>
        <v>43374</v>
      </c>
      <c r="AB30" s="104">
        <f t="shared" si="1"/>
        <v>43465</v>
      </c>
      <c r="AC30" s="101" t="s">
        <v>24</v>
      </c>
      <c r="AD30" s="101" t="str">
        <f t="shared" si="6"/>
        <v>=</v>
      </c>
      <c r="AE30" s="101" t="s">
        <v>24</v>
      </c>
      <c r="AF30" s="105" t="str">
        <f t="shared" si="4"/>
        <v>Quarterly Commodity Prices_Nov-2017dummy</v>
      </c>
    </row>
    <row r="31" spans="1:32" x14ac:dyDescent="0.2">
      <c r="A31" s="97" t="str">
        <f>'Fuel adder inputs and calcs'!C26</f>
        <v>Gas</v>
      </c>
      <c r="B31" s="97" t="str">
        <f>'Fuel adder inputs and calcs'!D26</f>
        <v>RoI</v>
      </c>
      <c r="C31" s="97" t="str">
        <f>'Fuel adder inputs and calcs'!E26&amp;'Fuel adder inputs and calcs'!F26</f>
        <v>2019Q1</v>
      </c>
      <c r="D31" s="97" t="str">
        <f>B31&amp;" "&amp;INDEX('Fixed inputs'!$D$34:$D$37,MATCH(A31,rngFuels,0))</f>
        <v>RoI Gas</v>
      </c>
      <c r="E31" s="68"/>
      <c r="F31" s="150"/>
      <c r="G31" s="101" t="str">
        <f t="shared" si="2"/>
        <v>RoI Gas</v>
      </c>
      <c r="H31" s="101" t="s">
        <v>22</v>
      </c>
      <c r="I31" s="102">
        <f ca="1">INDEX(rngFuelPricesDeterministic,MATCH($C31,'Commodity inputs and calcs'!$L$14:$L$21,0),MATCH($A31,'Commodity inputs and calcs'!$M$13:$P$13,0))+'Fuel adder inputs and calcs'!Q26</f>
        <v>6.278852287007485</v>
      </c>
      <c r="J31" s="102"/>
      <c r="K31" s="101" t="s">
        <v>23</v>
      </c>
      <c r="L31" s="103">
        <v>1</v>
      </c>
      <c r="M31" s="104">
        <f>INDEX('Fixed inputs'!$G$6:$G$18,MATCH(C31,'Fixed inputs'!$D$6:$D$18,0))</f>
        <v>43466</v>
      </c>
      <c r="N31" s="104">
        <f t="shared" si="0"/>
        <v>43555</v>
      </c>
      <c r="O31" s="101" t="s">
        <v>24</v>
      </c>
      <c r="P31" s="101" t="str">
        <f t="shared" si="5"/>
        <v>=</v>
      </c>
      <c r="Q31" s="101" t="s">
        <v>24</v>
      </c>
      <c r="R31" s="105" t="str">
        <f t="shared" si="3"/>
        <v>Quarterly Commodity Prices_Nov-2017dummy</v>
      </c>
      <c r="T31" s="112" t="s">
        <v>34</v>
      </c>
      <c r="U31" s="101" t="s">
        <v>10</v>
      </c>
      <c r="V31" s="101" t="s">
        <v>88</v>
      </c>
      <c r="W31" s="102">
        <f>INDEX(rngCarbonTaxDeterministic,MATCH($C31,'Commodity inputs and calcs'!$L$28:$L$35,0),MATCH($T31,'Commodity inputs and calcs'!$N$27:$P$27,0))</f>
        <v>8.0000000000000002E-3</v>
      </c>
      <c r="X31" s="102"/>
      <c r="Y31" s="101" t="s">
        <v>86</v>
      </c>
      <c r="Z31" s="103">
        <v>1</v>
      </c>
      <c r="AA31" s="104">
        <f t="shared" si="8"/>
        <v>43466</v>
      </c>
      <c r="AB31" s="104">
        <f t="shared" si="1"/>
        <v>43555</v>
      </c>
      <c r="AC31" s="101" t="s">
        <v>24</v>
      </c>
      <c r="AD31" s="101" t="str">
        <f t="shared" si="6"/>
        <v>=</v>
      </c>
      <c r="AE31" s="101" t="s">
        <v>24</v>
      </c>
      <c r="AF31" s="105" t="str">
        <f t="shared" si="4"/>
        <v>Quarterly Commodity Prices_Nov-2017dummy</v>
      </c>
    </row>
    <row r="32" spans="1:32" x14ac:dyDescent="0.2">
      <c r="A32" s="97" t="str">
        <f>'Fuel adder inputs and calcs'!C27</f>
        <v>Gas</v>
      </c>
      <c r="B32" s="97" t="str">
        <f>'Fuel adder inputs and calcs'!D27</f>
        <v>RoI</v>
      </c>
      <c r="C32" s="97" t="str">
        <f>'Fuel adder inputs and calcs'!E27&amp;'Fuel adder inputs and calcs'!F27</f>
        <v>2019Q2</v>
      </c>
      <c r="D32" s="97" t="str">
        <f>B32&amp;" "&amp;INDEX('Fixed inputs'!$D$34:$D$37,MATCH(A32,rngFuels,0))</f>
        <v>RoI Gas</v>
      </c>
      <c r="E32" s="68"/>
      <c r="F32" s="150"/>
      <c r="G32" s="101" t="str">
        <f t="shared" si="2"/>
        <v>RoI Gas</v>
      </c>
      <c r="H32" s="101" t="s">
        <v>22</v>
      </c>
      <c r="I32" s="102">
        <f ca="1">INDEX(rngFuelPricesDeterministic,MATCH($C32,'Commodity inputs and calcs'!$L$14:$L$21,0),MATCH($A32,'Commodity inputs and calcs'!$M$13:$P$13,0))+'Fuel adder inputs and calcs'!Q27</f>
        <v>5.4498302104438885</v>
      </c>
      <c r="J32" s="102"/>
      <c r="K32" s="101" t="s">
        <v>23</v>
      </c>
      <c r="L32" s="103">
        <v>1</v>
      </c>
      <c r="M32" s="104">
        <f>INDEX('Fixed inputs'!$G$6:$G$18,MATCH(C32,'Fixed inputs'!$D$6:$D$18,0))</f>
        <v>43556</v>
      </c>
      <c r="N32" s="104">
        <f t="shared" si="0"/>
        <v>43646</v>
      </c>
      <c r="O32" s="101" t="s">
        <v>24</v>
      </c>
      <c r="P32" s="101" t="str">
        <f t="shared" si="5"/>
        <v>=</v>
      </c>
      <c r="Q32" s="101" t="s">
        <v>24</v>
      </c>
      <c r="R32" s="105" t="str">
        <f t="shared" si="3"/>
        <v>Quarterly Commodity Prices_Nov-2017dummy</v>
      </c>
      <c r="T32" s="112" t="s">
        <v>34</v>
      </c>
      <c r="U32" s="101" t="s">
        <v>10</v>
      </c>
      <c r="V32" s="101" t="s">
        <v>88</v>
      </c>
      <c r="W32" s="102">
        <f>INDEX(rngCarbonTaxDeterministic,MATCH($C32,'Commodity inputs and calcs'!$L$28:$L$35,0),MATCH($T32,'Commodity inputs and calcs'!$N$27:$P$27,0))</f>
        <v>8.0000000000000002E-3</v>
      </c>
      <c r="X32" s="102"/>
      <c r="Y32" s="101" t="s">
        <v>86</v>
      </c>
      <c r="Z32" s="103">
        <v>1</v>
      </c>
      <c r="AA32" s="104">
        <f t="shared" si="8"/>
        <v>43556</v>
      </c>
      <c r="AB32" s="104">
        <f t="shared" si="1"/>
        <v>43646</v>
      </c>
      <c r="AC32" s="101" t="s">
        <v>24</v>
      </c>
      <c r="AD32" s="101" t="str">
        <f t="shared" si="6"/>
        <v>=</v>
      </c>
      <c r="AE32" s="101" t="s">
        <v>24</v>
      </c>
      <c r="AF32" s="105" t="str">
        <f t="shared" si="4"/>
        <v>Quarterly Commodity Prices_Nov-2017dummy</v>
      </c>
    </row>
    <row r="33" spans="1:32" x14ac:dyDescent="0.2">
      <c r="A33" s="97" t="str">
        <f>'Fuel adder inputs and calcs'!C28</f>
        <v>Gas</v>
      </c>
      <c r="B33" s="97" t="str">
        <f>'Fuel adder inputs and calcs'!D28</f>
        <v>RoI</v>
      </c>
      <c r="C33" s="97" t="str">
        <f>'Fuel adder inputs and calcs'!E28&amp;'Fuel adder inputs and calcs'!F28</f>
        <v>2019Q3</v>
      </c>
      <c r="D33" s="97" t="str">
        <f>B33&amp;" "&amp;INDEX('Fixed inputs'!$D$34:$D$37,MATCH(A33,rngFuels,0))</f>
        <v>RoI Gas</v>
      </c>
      <c r="E33" s="68"/>
      <c r="F33" s="150"/>
      <c r="G33" s="101" t="str">
        <f t="shared" si="2"/>
        <v>RoI Gas</v>
      </c>
      <c r="H33" s="101" t="s">
        <v>22</v>
      </c>
      <c r="I33" s="102">
        <f ca="1">INDEX(rngFuelPricesDeterministic,MATCH($C33,'Commodity inputs and calcs'!$L$14:$L$21,0),MATCH($A33,'Commodity inputs and calcs'!$M$13:$P$13,0))+'Fuel adder inputs and calcs'!Q28</f>
        <v>5.4498302104438885</v>
      </c>
      <c r="J33" s="102"/>
      <c r="K33" s="101" t="s">
        <v>23</v>
      </c>
      <c r="L33" s="103">
        <v>1</v>
      </c>
      <c r="M33" s="104">
        <f>INDEX('Fixed inputs'!$G$6:$G$18,MATCH(C33,'Fixed inputs'!$D$6:$D$18,0))</f>
        <v>43647</v>
      </c>
      <c r="N33" s="104">
        <f t="shared" si="0"/>
        <v>43738</v>
      </c>
      <c r="O33" s="101" t="s">
        <v>24</v>
      </c>
      <c r="P33" s="101" t="str">
        <f t="shared" si="5"/>
        <v>=</v>
      </c>
      <c r="Q33" s="101" t="s">
        <v>24</v>
      </c>
      <c r="R33" s="105" t="str">
        <f t="shared" si="3"/>
        <v>Quarterly Commodity Prices_Nov-2017dummy</v>
      </c>
      <c r="T33" s="112" t="s">
        <v>34</v>
      </c>
      <c r="U33" s="101" t="s">
        <v>10</v>
      </c>
      <c r="V33" s="101" t="s">
        <v>88</v>
      </c>
      <c r="W33" s="102">
        <f>INDEX(rngCarbonTaxDeterministic,MATCH($C33,'Commodity inputs and calcs'!$L$28:$L$35,0),MATCH($T33,'Commodity inputs and calcs'!$N$27:$P$27,0))</f>
        <v>8.0000000000000002E-3</v>
      </c>
      <c r="X33" s="102"/>
      <c r="Y33" s="101" t="s">
        <v>86</v>
      </c>
      <c r="Z33" s="103">
        <v>1</v>
      </c>
      <c r="AA33" s="104">
        <f t="shared" si="8"/>
        <v>43647</v>
      </c>
      <c r="AB33" s="104">
        <f t="shared" si="1"/>
        <v>43738</v>
      </c>
      <c r="AC33" s="101" t="s">
        <v>24</v>
      </c>
      <c r="AD33" s="101" t="str">
        <f t="shared" si="6"/>
        <v>=</v>
      </c>
      <c r="AE33" s="101" t="s">
        <v>24</v>
      </c>
      <c r="AF33" s="105" t="str">
        <f t="shared" si="4"/>
        <v>Quarterly Commodity Prices_Nov-2017dummy</v>
      </c>
    </row>
    <row r="34" spans="1:32" x14ac:dyDescent="0.2">
      <c r="A34" s="97" t="str">
        <f>'Fuel adder inputs and calcs'!C29</f>
        <v>Gas</v>
      </c>
      <c r="B34" s="97" t="str">
        <f>'Fuel adder inputs and calcs'!D29</f>
        <v>RoI</v>
      </c>
      <c r="C34" s="97" t="str">
        <f>'Fuel adder inputs and calcs'!E29&amp;'Fuel adder inputs and calcs'!F29</f>
        <v>2019Q4</v>
      </c>
      <c r="D34" s="97" t="str">
        <f>B34&amp;" "&amp;INDEX('Fixed inputs'!$D$34:$D$37,MATCH(A34,rngFuels,0))</f>
        <v>RoI Gas</v>
      </c>
      <c r="E34" s="68"/>
      <c r="F34" s="150"/>
      <c r="G34" s="101" t="str">
        <f t="shared" si="2"/>
        <v>RoI Gas</v>
      </c>
      <c r="H34" s="101" t="s">
        <v>22</v>
      </c>
      <c r="I34" s="102">
        <f ca="1">INDEX(rngFuelPricesDeterministic,MATCH($C34,'Commodity inputs and calcs'!$L$14:$L$21,0),MATCH($A34,'Commodity inputs and calcs'!$M$13:$P$13,0))+'Fuel adder inputs and calcs'!Q29</f>
        <v>6.278852287007485</v>
      </c>
      <c r="J34" s="102"/>
      <c r="K34" s="101" t="s">
        <v>23</v>
      </c>
      <c r="L34" s="103">
        <v>1</v>
      </c>
      <c r="M34" s="104">
        <f>INDEX('Fixed inputs'!$G$6:$G$18,MATCH(C34,'Fixed inputs'!$D$6:$D$18,0))</f>
        <v>43739</v>
      </c>
      <c r="N34" s="104" t="str">
        <f t="shared" si="0"/>
        <v/>
      </c>
      <c r="O34" s="101" t="s">
        <v>24</v>
      </c>
      <c r="P34" s="101" t="str">
        <f t="shared" si="5"/>
        <v>=</v>
      </c>
      <c r="Q34" s="101" t="s">
        <v>24</v>
      </c>
      <c r="R34" s="105" t="str">
        <f t="shared" si="3"/>
        <v>Quarterly Commodity Prices_Nov-2017dummy</v>
      </c>
      <c r="T34" s="112" t="s">
        <v>34</v>
      </c>
      <c r="U34" s="101" t="s">
        <v>10</v>
      </c>
      <c r="V34" s="101" t="s">
        <v>88</v>
      </c>
      <c r="W34" s="102">
        <f>INDEX(rngCarbonTaxDeterministic,MATCH($C34,'Commodity inputs and calcs'!$L$28:$L$35,0),MATCH($T34,'Commodity inputs and calcs'!$N$27:$P$27,0))</f>
        <v>8.0000000000000002E-3</v>
      </c>
      <c r="X34" s="102"/>
      <c r="Y34" s="101" t="s">
        <v>86</v>
      </c>
      <c r="Z34" s="103">
        <v>1</v>
      </c>
      <c r="AA34" s="104">
        <f t="shared" si="8"/>
        <v>43739</v>
      </c>
      <c r="AB34" s="104" t="str">
        <f t="shared" si="1"/>
        <v/>
      </c>
      <c r="AC34" s="101" t="s">
        <v>24</v>
      </c>
      <c r="AD34" s="101" t="str">
        <f t="shared" si="6"/>
        <v>=</v>
      </c>
      <c r="AE34" s="101" t="s">
        <v>24</v>
      </c>
      <c r="AF34" s="105" t="str">
        <f t="shared" si="4"/>
        <v>Quarterly Commodity Prices_Nov-2017dummy</v>
      </c>
    </row>
    <row r="35" spans="1:32" x14ac:dyDescent="0.2">
      <c r="A35" s="97" t="str">
        <f>'Fuel adder inputs and calcs'!C30</f>
        <v>Gas</v>
      </c>
      <c r="B35" s="97" t="str">
        <f>'Fuel adder inputs and calcs'!D30</f>
        <v>NI</v>
      </c>
      <c r="C35" s="97" t="str">
        <f>'Fuel adder inputs and calcs'!E30&amp;'Fuel adder inputs and calcs'!F30</f>
        <v>2018Q1</v>
      </c>
      <c r="D35" s="97" t="str">
        <f>B35&amp;" "&amp;INDEX('Fixed inputs'!$D$34:$D$37,MATCH(A35,rngFuels,0))</f>
        <v>NI Gas</v>
      </c>
      <c r="E35" s="68"/>
      <c r="F35" s="149"/>
      <c r="G35" s="101" t="str">
        <f t="shared" si="2"/>
        <v>NI Gas</v>
      </c>
      <c r="H35" s="101" t="s">
        <v>22</v>
      </c>
      <c r="I35" s="102">
        <f ca="1">INDEX(rngFuelPricesDeterministic,MATCH($C35,'Commodity inputs and calcs'!$L$14:$L$21,0),MATCH($A35,'Commodity inputs and calcs'!$M$13:$P$13,0))+'Fuel adder inputs and calcs'!Q30</f>
        <v>6.3748946634350609</v>
      </c>
      <c r="J35" s="102"/>
      <c r="K35" s="101" t="s">
        <v>23</v>
      </c>
      <c r="L35" s="103">
        <v>1</v>
      </c>
      <c r="M35" s="104">
        <f>INDEX('Fixed inputs'!$G$6:$G$18,MATCH(C35,'Fixed inputs'!$D$6:$D$18,0))</f>
        <v>43101</v>
      </c>
      <c r="N35" s="104">
        <f t="shared" si="0"/>
        <v>43190</v>
      </c>
      <c r="O35" s="101" t="s">
        <v>24</v>
      </c>
      <c r="P35" s="101" t="str">
        <f t="shared" si="5"/>
        <v>=</v>
      </c>
      <c r="Q35" s="101" t="s">
        <v>24</v>
      </c>
      <c r="R35" s="105" t="str">
        <f t="shared" si="3"/>
        <v>Quarterly Commodity Prices_Nov-2017dummy</v>
      </c>
      <c r="T35" s="112" t="s">
        <v>60</v>
      </c>
      <c r="U35" s="101" t="s">
        <v>87</v>
      </c>
      <c r="V35" s="101" t="s">
        <v>88</v>
      </c>
      <c r="W35" s="102">
        <f>INDEX(rngCarbonTaxDeterministic,MATCH($C35,'Commodity inputs and calcs'!$L$28:$L$35,0),MATCH($T35,'Commodity inputs and calcs'!$N$27:$P$27,0))</f>
        <v>2.8332197519202004E-2</v>
      </c>
      <c r="X35" s="102"/>
      <c r="Y35" s="101" t="s">
        <v>86</v>
      </c>
      <c r="Z35" s="103">
        <v>1</v>
      </c>
      <c r="AA35" s="104">
        <f t="shared" si="8"/>
        <v>43101</v>
      </c>
      <c r="AB35" s="104">
        <f t="shared" si="1"/>
        <v>43190</v>
      </c>
      <c r="AC35" s="101" t="s">
        <v>24</v>
      </c>
      <c r="AD35" s="101" t="str">
        <f t="shared" si="6"/>
        <v>=</v>
      </c>
      <c r="AE35" s="101" t="s">
        <v>24</v>
      </c>
      <c r="AF35" s="105" t="str">
        <f t="shared" si="4"/>
        <v>Quarterly Commodity Prices_Nov-2017dummy</v>
      </c>
    </row>
    <row r="36" spans="1:32" x14ac:dyDescent="0.2">
      <c r="A36" s="97" t="str">
        <f>'Fuel adder inputs and calcs'!C31</f>
        <v>Gas</v>
      </c>
      <c r="B36" s="97" t="str">
        <f>'Fuel adder inputs and calcs'!D31</f>
        <v>NI</v>
      </c>
      <c r="C36" s="97" t="str">
        <f>'Fuel adder inputs and calcs'!E31&amp;'Fuel adder inputs and calcs'!F31</f>
        <v>2018Q2</v>
      </c>
      <c r="D36" s="97" t="str">
        <f>B36&amp;" "&amp;INDEX('Fixed inputs'!$D$34:$D$37,MATCH(A36,rngFuels,0))</f>
        <v>NI Gas</v>
      </c>
      <c r="E36" s="68"/>
      <c r="F36" s="149"/>
      <c r="G36" s="101" t="str">
        <f t="shared" si="2"/>
        <v>NI Gas</v>
      </c>
      <c r="H36" s="101" t="s">
        <v>22</v>
      </c>
      <c r="I36" s="102">
        <f ca="1">INDEX(rngFuelPricesDeterministic,MATCH($C36,'Commodity inputs and calcs'!$L$14:$L$21,0),MATCH($A36,'Commodity inputs and calcs'!$M$13:$P$13,0))+'Fuel adder inputs and calcs'!Q31</f>
        <v>5.5458725868714644</v>
      </c>
      <c r="J36" s="102"/>
      <c r="K36" s="101" t="s">
        <v>23</v>
      </c>
      <c r="L36" s="103">
        <v>1</v>
      </c>
      <c r="M36" s="104">
        <f>INDEX('Fixed inputs'!$G$6:$G$18,MATCH(C36,'Fixed inputs'!$D$6:$D$18,0))</f>
        <v>43191</v>
      </c>
      <c r="N36" s="104">
        <f t="shared" si="0"/>
        <v>43281</v>
      </c>
      <c r="O36" s="101" t="s">
        <v>24</v>
      </c>
      <c r="P36" s="101" t="str">
        <f t="shared" si="5"/>
        <v>=</v>
      </c>
      <c r="Q36" s="101" t="s">
        <v>24</v>
      </c>
      <c r="R36" s="105" t="str">
        <f t="shared" si="3"/>
        <v>Quarterly Commodity Prices_Nov-2017dummy</v>
      </c>
      <c r="T36" s="112" t="s">
        <v>60</v>
      </c>
      <c r="U36" s="101" t="s">
        <v>87</v>
      </c>
      <c r="V36" s="101" t="s">
        <v>88</v>
      </c>
      <c r="W36" s="102">
        <f>INDEX(rngCarbonTaxDeterministic,MATCH($C36,'Commodity inputs and calcs'!$L$28:$L$35,0),MATCH($T36,'Commodity inputs and calcs'!$N$27:$P$27,0))</f>
        <v>2.8332197519202004E-2</v>
      </c>
      <c r="X36" s="102"/>
      <c r="Y36" s="101" t="s">
        <v>86</v>
      </c>
      <c r="Z36" s="103">
        <v>1</v>
      </c>
      <c r="AA36" s="104">
        <f t="shared" si="8"/>
        <v>43191</v>
      </c>
      <c r="AB36" s="104">
        <f t="shared" si="1"/>
        <v>43281</v>
      </c>
      <c r="AC36" s="101" t="s">
        <v>24</v>
      </c>
      <c r="AD36" s="101" t="str">
        <f t="shared" si="6"/>
        <v>=</v>
      </c>
      <c r="AE36" s="101" t="s">
        <v>24</v>
      </c>
      <c r="AF36" s="105" t="str">
        <f t="shared" si="4"/>
        <v>Quarterly Commodity Prices_Nov-2017dummy</v>
      </c>
    </row>
    <row r="37" spans="1:32" x14ac:dyDescent="0.2">
      <c r="A37" s="97" t="str">
        <f>'Fuel adder inputs and calcs'!C32</f>
        <v>Gas</v>
      </c>
      <c r="B37" s="97" t="str">
        <f>'Fuel adder inputs and calcs'!D32</f>
        <v>NI</v>
      </c>
      <c r="C37" s="97" t="str">
        <f>'Fuel adder inputs and calcs'!E32&amp;'Fuel adder inputs and calcs'!F32</f>
        <v>2018Q3</v>
      </c>
      <c r="D37" s="97" t="str">
        <f>B37&amp;" "&amp;INDEX('Fixed inputs'!$D$34:$D$37,MATCH(A37,rngFuels,0))</f>
        <v>NI Gas</v>
      </c>
      <c r="E37" s="68"/>
      <c r="F37" s="149"/>
      <c r="G37" s="101" t="str">
        <f t="shared" si="2"/>
        <v>NI Gas</v>
      </c>
      <c r="H37" s="101" t="s">
        <v>22</v>
      </c>
      <c r="I37" s="102">
        <f ca="1">INDEX(rngFuelPricesDeterministic,MATCH($C37,'Commodity inputs and calcs'!$L$14:$L$21,0),MATCH($A37,'Commodity inputs and calcs'!$M$13:$P$13,0))+'Fuel adder inputs and calcs'!Q32</f>
        <v>5.5458725868714644</v>
      </c>
      <c r="J37" s="102"/>
      <c r="K37" s="101" t="s">
        <v>23</v>
      </c>
      <c r="L37" s="103">
        <v>1</v>
      </c>
      <c r="M37" s="104">
        <f>INDEX('Fixed inputs'!$G$6:$G$18,MATCH(C37,'Fixed inputs'!$D$6:$D$18,0))</f>
        <v>43282</v>
      </c>
      <c r="N37" s="104">
        <f t="shared" si="0"/>
        <v>43373</v>
      </c>
      <c r="O37" s="101" t="s">
        <v>24</v>
      </c>
      <c r="P37" s="101" t="str">
        <f t="shared" si="5"/>
        <v>=</v>
      </c>
      <c r="Q37" s="101" t="s">
        <v>24</v>
      </c>
      <c r="R37" s="105" t="str">
        <f t="shared" si="3"/>
        <v>Quarterly Commodity Prices_Nov-2017dummy</v>
      </c>
      <c r="T37" s="112" t="s">
        <v>60</v>
      </c>
      <c r="U37" s="101" t="s">
        <v>87</v>
      </c>
      <c r="V37" s="101" t="s">
        <v>88</v>
      </c>
      <c r="W37" s="102">
        <f>INDEX(rngCarbonTaxDeterministic,MATCH($C37,'Commodity inputs and calcs'!$L$28:$L$35,0),MATCH($T37,'Commodity inputs and calcs'!$N$27:$P$27,0))</f>
        <v>2.8332197519202004E-2</v>
      </c>
      <c r="X37" s="102"/>
      <c r="Y37" s="101" t="s">
        <v>86</v>
      </c>
      <c r="Z37" s="103">
        <v>1</v>
      </c>
      <c r="AA37" s="104">
        <f t="shared" si="8"/>
        <v>43282</v>
      </c>
      <c r="AB37" s="104">
        <f t="shared" si="1"/>
        <v>43373</v>
      </c>
      <c r="AC37" s="101" t="s">
        <v>24</v>
      </c>
      <c r="AD37" s="101" t="str">
        <f t="shared" si="6"/>
        <v>=</v>
      </c>
      <c r="AE37" s="101" t="s">
        <v>24</v>
      </c>
      <c r="AF37" s="105" t="str">
        <f t="shared" si="4"/>
        <v>Quarterly Commodity Prices_Nov-2017dummy</v>
      </c>
    </row>
    <row r="38" spans="1:32" x14ac:dyDescent="0.2">
      <c r="A38" s="97" t="str">
        <f>'Fuel adder inputs and calcs'!C33</f>
        <v>Gas</v>
      </c>
      <c r="B38" s="97" t="str">
        <f>'Fuel adder inputs and calcs'!D33</f>
        <v>NI</v>
      </c>
      <c r="C38" s="97" t="str">
        <f>'Fuel adder inputs and calcs'!E33&amp;'Fuel adder inputs and calcs'!F33</f>
        <v>2018Q4</v>
      </c>
      <c r="D38" s="97" t="str">
        <f>B38&amp;" "&amp;INDEX('Fixed inputs'!$D$34:$D$37,MATCH(A38,rngFuels,0))</f>
        <v>NI Gas</v>
      </c>
      <c r="E38" s="68"/>
      <c r="F38" s="149"/>
      <c r="G38" s="101" t="str">
        <f t="shared" si="2"/>
        <v>NI Gas</v>
      </c>
      <c r="H38" s="101" t="s">
        <v>22</v>
      </c>
      <c r="I38" s="102">
        <f ca="1">INDEX(rngFuelPricesDeterministic,MATCH($C38,'Commodity inputs and calcs'!$L$14:$L$21,0),MATCH($A38,'Commodity inputs and calcs'!$M$13:$P$13,0))+'Fuel adder inputs and calcs'!Q33</f>
        <v>6.3748946634350609</v>
      </c>
      <c r="J38" s="102"/>
      <c r="K38" s="101" t="s">
        <v>23</v>
      </c>
      <c r="L38" s="103">
        <v>1</v>
      </c>
      <c r="M38" s="104">
        <f>INDEX('Fixed inputs'!$G$6:$G$18,MATCH(C38,'Fixed inputs'!$D$6:$D$18,0))</f>
        <v>43374</v>
      </c>
      <c r="N38" s="104">
        <f t="shared" si="0"/>
        <v>43465</v>
      </c>
      <c r="O38" s="101" t="s">
        <v>24</v>
      </c>
      <c r="P38" s="101" t="str">
        <f t="shared" si="5"/>
        <v>=</v>
      </c>
      <c r="Q38" s="101" t="s">
        <v>24</v>
      </c>
      <c r="R38" s="105" t="str">
        <f t="shared" si="3"/>
        <v>Quarterly Commodity Prices_Nov-2017dummy</v>
      </c>
      <c r="T38" s="112" t="s">
        <v>60</v>
      </c>
      <c r="U38" s="101" t="s">
        <v>87</v>
      </c>
      <c r="V38" s="101" t="s">
        <v>88</v>
      </c>
      <c r="W38" s="102">
        <f>INDEX(rngCarbonTaxDeterministic,MATCH($C38,'Commodity inputs and calcs'!$L$28:$L$35,0),MATCH($T38,'Commodity inputs and calcs'!$N$27:$P$27,0))</f>
        <v>2.8332197519202004E-2</v>
      </c>
      <c r="X38" s="102"/>
      <c r="Y38" s="101" t="s">
        <v>86</v>
      </c>
      <c r="Z38" s="103">
        <v>1</v>
      </c>
      <c r="AA38" s="104">
        <f t="shared" si="8"/>
        <v>43374</v>
      </c>
      <c r="AB38" s="104">
        <f t="shared" si="1"/>
        <v>43465</v>
      </c>
      <c r="AC38" s="101" t="s">
        <v>24</v>
      </c>
      <c r="AD38" s="101" t="str">
        <f t="shared" si="6"/>
        <v>=</v>
      </c>
      <c r="AE38" s="101" t="s">
        <v>24</v>
      </c>
      <c r="AF38" s="105" t="str">
        <f t="shared" si="4"/>
        <v>Quarterly Commodity Prices_Nov-2017dummy</v>
      </c>
    </row>
    <row r="39" spans="1:32" x14ac:dyDescent="0.2">
      <c r="A39" s="97" t="str">
        <f>'Fuel adder inputs and calcs'!C34</f>
        <v>Gas</v>
      </c>
      <c r="B39" s="97" t="str">
        <f>'Fuel adder inputs and calcs'!D34</f>
        <v>NI</v>
      </c>
      <c r="C39" s="97" t="str">
        <f>'Fuel adder inputs and calcs'!E34&amp;'Fuel adder inputs and calcs'!F34</f>
        <v>2019Q1</v>
      </c>
      <c r="D39" s="97" t="str">
        <f>B39&amp;" "&amp;INDEX('Fixed inputs'!$D$34:$D$37,MATCH(A39,rngFuels,0))</f>
        <v>NI Gas</v>
      </c>
      <c r="E39" s="68"/>
      <c r="F39" s="149"/>
      <c r="G39" s="101" t="str">
        <f t="shared" si="2"/>
        <v>NI Gas</v>
      </c>
      <c r="H39" s="101" t="s">
        <v>22</v>
      </c>
      <c r="I39" s="102">
        <f ca="1">INDEX(rngFuelPricesDeterministic,MATCH($C39,'Commodity inputs and calcs'!$L$14:$L$21,0),MATCH($A39,'Commodity inputs and calcs'!$M$13:$P$13,0))+'Fuel adder inputs and calcs'!Q34</f>
        <v>6.3748946634350609</v>
      </c>
      <c r="J39" s="102"/>
      <c r="K39" s="101" t="s">
        <v>23</v>
      </c>
      <c r="L39" s="103">
        <v>1</v>
      </c>
      <c r="M39" s="104">
        <f>INDEX('Fixed inputs'!$G$6:$G$18,MATCH(C39,'Fixed inputs'!$D$6:$D$18,0))</f>
        <v>43466</v>
      </c>
      <c r="N39" s="104">
        <f t="shared" si="0"/>
        <v>43555</v>
      </c>
      <c r="O39" s="101" t="s">
        <v>24</v>
      </c>
      <c r="P39" s="101" t="str">
        <f t="shared" si="5"/>
        <v>=</v>
      </c>
      <c r="Q39" s="101" t="s">
        <v>24</v>
      </c>
      <c r="R39" s="105" t="str">
        <f t="shared" si="3"/>
        <v>Quarterly Commodity Prices_Nov-2017dummy</v>
      </c>
      <c r="T39" s="112" t="s">
        <v>60</v>
      </c>
      <c r="U39" s="101" t="s">
        <v>87</v>
      </c>
      <c r="V39" s="101" t="s">
        <v>88</v>
      </c>
      <c r="W39" s="102">
        <f>INDEX(rngCarbonTaxDeterministic,MATCH($C39,'Commodity inputs and calcs'!$L$28:$L$35,0),MATCH($T39,'Commodity inputs and calcs'!$N$27:$P$27,0))</f>
        <v>2.8332197519202004E-2</v>
      </c>
      <c r="X39" s="102"/>
      <c r="Y39" s="101" t="s">
        <v>86</v>
      </c>
      <c r="Z39" s="103">
        <v>1</v>
      </c>
      <c r="AA39" s="104">
        <f t="shared" si="8"/>
        <v>43466</v>
      </c>
      <c r="AB39" s="104">
        <f t="shared" si="1"/>
        <v>43555</v>
      </c>
      <c r="AC39" s="101" t="s">
        <v>24</v>
      </c>
      <c r="AD39" s="101" t="str">
        <f t="shared" si="6"/>
        <v>=</v>
      </c>
      <c r="AE39" s="101" t="s">
        <v>24</v>
      </c>
      <c r="AF39" s="105" t="str">
        <f t="shared" si="4"/>
        <v>Quarterly Commodity Prices_Nov-2017dummy</v>
      </c>
    </row>
    <row r="40" spans="1:32" x14ac:dyDescent="0.2">
      <c r="A40" s="97" t="str">
        <f>'Fuel adder inputs and calcs'!C35</f>
        <v>Gas</v>
      </c>
      <c r="B40" s="97" t="str">
        <f>'Fuel adder inputs and calcs'!D35</f>
        <v>NI</v>
      </c>
      <c r="C40" s="97" t="str">
        <f>'Fuel adder inputs and calcs'!E35&amp;'Fuel adder inputs and calcs'!F35</f>
        <v>2019Q2</v>
      </c>
      <c r="D40" s="97" t="str">
        <f>B40&amp;" "&amp;INDEX('Fixed inputs'!$D$34:$D$37,MATCH(A40,rngFuels,0))</f>
        <v>NI Gas</v>
      </c>
      <c r="E40" s="68"/>
      <c r="F40" s="149"/>
      <c r="G40" s="101" t="str">
        <f t="shared" si="2"/>
        <v>NI Gas</v>
      </c>
      <c r="H40" s="101" t="s">
        <v>22</v>
      </c>
      <c r="I40" s="102">
        <f ca="1">INDEX(rngFuelPricesDeterministic,MATCH($C40,'Commodity inputs and calcs'!$L$14:$L$21,0),MATCH($A40,'Commodity inputs and calcs'!$M$13:$P$13,0))+'Fuel adder inputs and calcs'!Q35</f>
        <v>5.5458725868714644</v>
      </c>
      <c r="J40" s="102"/>
      <c r="K40" s="101" t="s">
        <v>23</v>
      </c>
      <c r="L40" s="103">
        <v>1</v>
      </c>
      <c r="M40" s="104">
        <f>INDEX('Fixed inputs'!$G$6:$G$18,MATCH(C40,'Fixed inputs'!$D$6:$D$18,0))</f>
        <v>43556</v>
      </c>
      <c r="N40" s="104">
        <f t="shared" si="0"/>
        <v>43646</v>
      </c>
      <c r="O40" s="101" t="s">
        <v>24</v>
      </c>
      <c r="P40" s="101" t="str">
        <f t="shared" si="5"/>
        <v>=</v>
      </c>
      <c r="Q40" s="101" t="s">
        <v>24</v>
      </c>
      <c r="R40" s="105" t="str">
        <f t="shared" si="3"/>
        <v>Quarterly Commodity Prices_Nov-2017dummy</v>
      </c>
      <c r="T40" s="112" t="s">
        <v>60</v>
      </c>
      <c r="U40" s="101" t="s">
        <v>87</v>
      </c>
      <c r="V40" s="101" t="s">
        <v>88</v>
      </c>
      <c r="W40" s="102">
        <f>INDEX(rngCarbonTaxDeterministic,MATCH($C40,'Commodity inputs and calcs'!$L$28:$L$35,0),MATCH($T40,'Commodity inputs and calcs'!$N$27:$P$27,0))</f>
        <v>2.8332197519202004E-2</v>
      </c>
      <c r="X40" s="102"/>
      <c r="Y40" s="101" t="s">
        <v>86</v>
      </c>
      <c r="Z40" s="103">
        <v>1</v>
      </c>
      <c r="AA40" s="104">
        <f t="shared" si="8"/>
        <v>43556</v>
      </c>
      <c r="AB40" s="104">
        <f t="shared" si="1"/>
        <v>43646</v>
      </c>
      <c r="AC40" s="101" t="s">
        <v>24</v>
      </c>
      <c r="AD40" s="101" t="str">
        <f t="shared" si="6"/>
        <v>=</v>
      </c>
      <c r="AE40" s="101" t="s">
        <v>24</v>
      </c>
      <c r="AF40" s="105" t="str">
        <f t="shared" si="4"/>
        <v>Quarterly Commodity Prices_Nov-2017dummy</v>
      </c>
    </row>
    <row r="41" spans="1:32" x14ac:dyDescent="0.2">
      <c r="A41" s="97" t="str">
        <f>'Fuel adder inputs and calcs'!C36</f>
        <v>Gas</v>
      </c>
      <c r="B41" s="97" t="str">
        <f>'Fuel adder inputs and calcs'!D36</f>
        <v>NI</v>
      </c>
      <c r="C41" s="97" t="str">
        <f>'Fuel adder inputs and calcs'!E36&amp;'Fuel adder inputs and calcs'!F36</f>
        <v>2019Q3</v>
      </c>
      <c r="D41" s="97" t="str">
        <f>B41&amp;" "&amp;INDEX('Fixed inputs'!$D$34:$D$37,MATCH(A41,rngFuels,0))</f>
        <v>NI Gas</v>
      </c>
      <c r="E41" s="68"/>
      <c r="F41" s="149"/>
      <c r="G41" s="101" t="str">
        <f t="shared" si="2"/>
        <v>NI Gas</v>
      </c>
      <c r="H41" s="101" t="s">
        <v>22</v>
      </c>
      <c r="I41" s="102">
        <f ca="1">INDEX(rngFuelPricesDeterministic,MATCH($C41,'Commodity inputs and calcs'!$L$14:$L$21,0),MATCH($A41,'Commodity inputs and calcs'!$M$13:$P$13,0))+'Fuel adder inputs and calcs'!Q36</f>
        <v>5.5458725868714644</v>
      </c>
      <c r="J41" s="102"/>
      <c r="K41" s="101" t="s">
        <v>23</v>
      </c>
      <c r="L41" s="103">
        <v>1</v>
      </c>
      <c r="M41" s="104">
        <f>INDEX('Fixed inputs'!$G$6:$G$18,MATCH(C41,'Fixed inputs'!$D$6:$D$18,0))</f>
        <v>43647</v>
      </c>
      <c r="N41" s="104">
        <f t="shared" si="0"/>
        <v>43738</v>
      </c>
      <c r="O41" s="101" t="s">
        <v>24</v>
      </c>
      <c r="P41" s="101" t="str">
        <f t="shared" si="5"/>
        <v>=</v>
      </c>
      <c r="Q41" s="101" t="s">
        <v>24</v>
      </c>
      <c r="R41" s="105" t="str">
        <f t="shared" si="3"/>
        <v>Quarterly Commodity Prices_Nov-2017dummy</v>
      </c>
      <c r="T41" s="112" t="s">
        <v>60</v>
      </c>
      <c r="U41" s="101" t="s">
        <v>87</v>
      </c>
      <c r="V41" s="101" t="s">
        <v>88</v>
      </c>
      <c r="W41" s="102">
        <f>INDEX(rngCarbonTaxDeterministic,MATCH($C41,'Commodity inputs and calcs'!$L$28:$L$35,0),MATCH($T41,'Commodity inputs and calcs'!$N$27:$P$27,0))</f>
        <v>2.8332197519202004E-2</v>
      </c>
      <c r="X41" s="102"/>
      <c r="Y41" s="101" t="s">
        <v>86</v>
      </c>
      <c r="Z41" s="103">
        <v>1</v>
      </c>
      <c r="AA41" s="104">
        <f t="shared" si="8"/>
        <v>43647</v>
      </c>
      <c r="AB41" s="104">
        <f t="shared" si="1"/>
        <v>43738</v>
      </c>
      <c r="AC41" s="101" t="s">
        <v>24</v>
      </c>
      <c r="AD41" s="101" t="str">
        <f t="shared" si="6"/>
        <v>=</v>
      </c>
      <c r="AE41" s="101" t="s">
        <v>24</v>
      </c>
      <c r="AF41" s="105" t="str">
        <f t="shared" si="4"/>
        <v>Quarterly Commodity Prices_Nov-2017dummy</v>
      </c>
    </row>
    <row r="42" spans="1:32" x14ac:dyDescent="0.2">
      <c r="A42" s="97" t="str">
        <f>'Fuel adder inputs and calcs'!C37</f>
        <v>Gas</v>
      </c>
      <c r="B42" s="97" t="str">
        <f>'Fuel adder inputs and calcs'!D37</f>
        <v>NI</v>
      </c>
      <c r="C42" s="97" t="str">
        <f>'Fuel adder inputs and calcs'!E37&amp;'Fuel adder inputs and calcs'!F37</f>
        <v>2019Q4</v>
      </c>
      <c r="D42" s="97" t="str">
        <f>B42&amp;" "&amp;INDEX('Fixed inputs'!$D$34:$D$37,MATCH(A42,rngFuels,0))</f>
        <v>NI Gas</v>
      </c>
      <c r="E42" s="68"/>
      <c r="F42" s="149"/>
      <c r="G42" s="101" t="str">
        <f t="shared" si="2"/>
        <v>NI Gas</v>
      </c>
      <c r="H42" s="101" t="s">
        <v>22</v>
      </c>
      <c r="I42" s="102">
        <f ca="1">INDEX(rngFuelPricesDeterministic,MATCH($C42,'Commodity inputs and calcs'!$L$14:$L$21,0),MATCH($A42,'Commodity inputs and calcs'!$M$13:$P$13,0))+'Fuel adder inputs and calcs'!Q37</f>
        <v>6.3748946634350609</v>
      </c>
      <c r="J42" s="102"/>
      <c r="K42" s="101" t="s">
        <v>23</v>
      </c>
      <c r="L42" s="103">
        <v>1</v>
      </c>
      <c r="M42" s="104">
        <f>INDEX('Fixed inputs'!$G$6:$G$18,MATCH(C42,'Fixed inputs'!$D$6:$D$18,0))</f>
        <v>43739</v>
      </c>
      <c r="N42" s="104" t="str">
        <f t="shared" si="0"/>
        <v/>
      </c>
      <c r="O42" s="101" t="s">
        <v>24</v>
      </c>
      <c r="P42" s="101" t="str">
        <f t="shared" si="5"/>
        <v>=</v>
      </c>
      <c r="Q42" s="101" t="s">
        <v>24</v>
      </c>
      <c r="R42" s="105" t="str">
        <f t="shared" si="3"/>
        <v>Quarterly Commodity Prices_Nov-2017dummy</v>
      </c>
      <c r="T42" s="112" t="s">
        <v>60</v>
      </c>
      <c r="U42" s="101" t="s">
        <v>87</v>
      </c>
      <c r="V42" s="101" t="s">
        <v>88</v>
      </c>
      <c r="W42" s="102">
        <f>INDEX(rngCarbonTaxDeterministic,MATCH($C42,'Commodity inputs and calcs'!$L$28:$L$35,0),MATCH($T42,'Commodity inputs and calcs'!$N$27:$P$27,0))</f>
        <v>2.8332197519202004E-2</v>
      </c>
      <c r="X42" s="102"/>
      <c r="Y42" s="101" t="s">
        <v>86</v>
      </c>
      <c r="Z42" s="103">
        <v>1</v>
      </c>
      <c r="AA42" s="104">
        <f t="shared" si="8"/>
        <v>43739</v>
      </c>
      <c r="AB42" s="104" t="str">
        <f t="shared" si="1"/>
        <v/>
      </c>
      <c r="AC42" s="101" t="s">
        <v>24</v>
      </c>
      <c r="AD42" s="101" t="str">
        <f t="shared" si="6"/>
        <v>=</v>
      </c>
      <c r="AE42" s="101" t="s">
        <v>24</v>
      </c>
      <c r="AF42" s="105" t="str">
        <f t="shared" si="4"/>
        <v>Quarterly Commodity Prices_Nov-2017dummy</v>
      </c>
    </row>
    <row r="43" spans="1:32" x14ac:dyDescent="0.2">
      <c r="A43" s="97" t="str">
        <f>'Fuel adder inputs and calcs'!C38</f>
        <v>Gas</v>
      </c>
      <c r="B43" s="97" t="str">
        <f>'Fuel adder inputs and calcs'!D38</f>
        <v>GB</v>
      </c>
      <c r="C43" s="97" t="str">
        <f>'Fuel adder inputs and calcs'!E38&amp;'Fuel adder inputs and calcs'!F38</f>
        <v>2018Q1</v>
      </c>
      <c r="D43" s="97" t="str">
        <f>B43&amp;" "&amp;INDEX('Fixed inputs'!$D$34:$D$37,MATCH(A43,rngFuels,0))</f>
        <v>GB Gas</v>
      </c>
      <c r="E43" s="68"/>
      <c r="G43" s="101" t="str">
        <f t="shared" si="2"/>
        <v>GB Gas</v>
      </c>
      <c r="H43" s="101" t="s">
        <v>22</v>
      </c>
      <c r="I43" s="102">
        <f ca="1">INDEX(rngFuelPricesDeterministic,MATCH($C43,'Commodity inputs and calcs'!$L$14:$L$21,0),MATCH($A43,'Commodity inputs and calcs'!$M$13:$P$13,0))+'Fuel adder inputs and calcs'!Q38</f>
        <v>6.0274831232477215</v>
      </c>
      <c r="J43" s="102"/>
      <c r="K43" s="101" t="s">
        <v>23</v>
      </c>
      <c r="L43" s="103">
        <v>1</v>
      </c>
      <c r="M43" s="104">
        <f>INDEX('Fixed inputs'!$G$6:$G$18,MATCH(C43,'Fixed inputs'!$D$6:$D$18,0))</f>
        <v>43101</v>
      </c>
      <c r="N43" s="104">
        <f t="shared" ref="N43:N74" si="9">IF(G43=G44,M44-1,"")</f>
        <v>43190</v>
      </c>
      <c r="O43" s="101" t="s">
        <v>24</v>
      </c>
      <c r="P43" s="101" t="str">
        <f t="shared" si="5"/>
        <v>=</v>
      </c>
      <c r="Q43" s="101" t="s">
        <v>24</v>
      </c>
      <c r="R43" s="105" t="str">
        <f t="shared" si="3"/>
        <v>Quarterly Commodity Prices_Nov-2017dummy</v>
      </c>
    </row>
    <row r="44" spans="1:32" x14ac:dyDescent="0.2">
      <c r="A44" s="97" t="str">
        <f>'Fuel adder inputs and calcs'!C39</f>
        <v>Gas</v>
      </c>
      <c r="B44" s="97" t="str">
        <f>'Fuel adder inputs and calcs'!D39</f>
        <v>GB</v>
      </c>
      <c r="C44" s="97" t="str">
        <f>'Fuel adder inputs and calcs'!E39&amp;'Fuel adder inputs and calcs'!F39</f>
        <v>2018Q2</v>
      </c>
      <c r="D44" s="97" t="str">
        <f>B44&amp;" "&amp;INDEX('Fixed inputs'!$D$34:$D$37,MATCH(A44,rngFuels,0))</f>
        <v>GB Gas</v>
      </c>
      <c r="E44" s="68"/>
      <c r="G44" s="101" t="str">
        <f t="shared" si="2"/>
        <v>GB Gas</v>
      </c>
      <c r="H44" s="101" t="s">
        <v>22</v>
      </c>
      <c r="I44" s="102">
        <f ca="1">INDEX(rngFuelPricesDeterministic,MATCH($C44,'Commodity inputs and calcs'!$L$14:$L$21,0),MATCH($A44,'Commodity inputs and calcs'!$M$13:$P$13,0))+'Fuel adder inputs and calcs'!Q39</f>
        <v>5.198461046684125</v>
      </c>
      <c r="J44" s="102"/>
      <c r="K44" s="101" t="s">
        <v>23</v>
      </c>
      <c r="L44" s="103">
        <v>1</v>
      </c>
      <c r="M44" s="104">
        <f>INDEX('Fixed inputs'!$G$6:$G$18,MATCH(C44,'Fixed inputs'!$D$6:$D$18,0))</f>
        <v>43191</v>
      </c>
      <c r="N44" s="104">
        <f t="shared" si="9"/>
        <v>43281</v>
      </c>
      <c r="O44" s="101" t="s">
        <v>24</v>
      </c>
      <c r="P44" s="101" t="str">
        <f t="shared" si="5"/>
        <v>=</v>
      </c>
      <c r="Q44" s="101" t="s">
        <v>24</v>
      </c>
      <c r="R44" s="105" t="str">
        <f t="shared" si="3"/>
        <v>Quarterly Commodity Prices_Nov-2017dummy</v>
      </c>
    </row>
    <row r="45" spans="1:32" x14ac:dyDescent="0.2">
      <c r="A45" s="97" t="str">
        <f>'Fuel adder inputs and calcs'!C40</f>
        <v>Gas</v>
      </c>
      <c r="B45" s="97" t="str">
        <f>'Fuel adder inputs and calcs'!D40</f>
        <v>GB</v>
      </c>
      <c r="C45" s="97" t="str">
        <f>'Fuel adder inputs and calcs'!E40&amp;'Fuel adder inputs and calcs'!F40</f>
        <v>2018Q3</v>
      </c>
      <c r="D45" s="97" t="str">
        <f>B45&amp;" "&amp;INDEX('Fixed inputs'!$D$34:$D$37,MATCH(A45,rngFuels,0))</f>
        <v>GB Gas</v>
      </c>
      <c r="E45" s="68"/>
      <c r="G45" s="101" t="str">
        <f t="shared" si="2"/>
        <v>GB Gas</v>
      </c>
      <c r="H45" s="101" t="s">
        <v>22</v>
      </c>
      <c r="I45" s="102">
        <f ca="1">INDEX(rngFuelPricesDeterministic,MATCH($C45,'Commodity inputs and calcs'!$L$14:$L$21,0),MATCH($A45,'Commodity inputs and calcs'!$M$13:$P$13,0))+'Fuel adder inputs and calcs'!Q40</f>
        <v>5.198461046684125</v>
      </c>
      <c r="J45" s="102"/>
      <c r="K45" s="101" t="s">
        <v>23</v>
      </c>
      <c r="L45" s="103">
        <v>1</v>
      </c>
      <c r="M45" s="104">
        <f>INDEX('Fixed inputs'!$G$6:$G$18,MATCH(C45,'Fixed inputs'!$D$6:$D$18,0))</f>
        <v>43282</v>
      </c>
      <c r="N45" s="104">
        <f t="shared" si="9"/>
        <v>43373</v>
      </c>
      <c r="O45" s="101" t="s">
        <v>24</v>
      </c>
      <c r="P45" s="101" t="str">
        <f t="shared" si="5"/>
        <v>=</v>
      </c>
      <c r="Q45" s="101" t="s">
        <v>24</v>
      </c>
      <c r="R45" s="105" t="str">
        <f t="shared" si="3"/>
        <v>Quarterly Commodity Prices_Nov-2017dummy</v>
      </c>
    </row>
    <row r="46" spans="1:32" x14ac:dyDescent="0.2">
      <c r="A46" s="97" t="str">
        <f>'Fuel adder inputs and calcs'!C41</f>
        <v>Gas</v>
      </c>
      <c r="B46" s="97" t="str">
        <f>'Fuel adder inputs and calcs'!D41</f>
        <v>GB</v>
      </c>
      <c r="C46" s="97" t="str">
        <f>'Fuel adder inputs and calcs'!E41&amp;'Fuel adder inputs and calcs'!F41</f>
        <v>2018Q4</v>
      </c>
      <c r="D46" s="97" t="str">
        <f>B46&amp;" "&amp;INDEX('Fixed inputs'!$D$34:$D$37,MATCH(A46,rngFuels,0))</f>
        <v>GB Gas</v>
      </c>
      <c r="E46" s="68"/>
      <c r="G46" s="101" t="str">
        <f t="shared" si="2"/>
        <v>GB Gas</v>
      </c>
      <c r="H46" s="101" t="s">
        <v>22</v>
      </c>
      <c r="I46" s="102">
        <f ca="1">INDEX(rngFuelPricesDeterministic,MATCH($C46,'Commodity inputs and calcs'!$L$14:$L$21,0),MATCH($A46,'Commodity inputs and calcs'!$M$13:$P$13,0))+'Fuel adder inputs and calcs'!Q41</f>
        <v>6.0274831232477215</v>
      </c>
      <c r="J46" s="102"/>
      <c r="K46" s="101" t="s">
        <v>23</v>
      </c>
      <c r="L46" s="103">
        <v>1</v>
      </c>
      <c r="M46" s="104">
        <f>INDEX('Fixed inputs'!$G$6:$G$18,MATCH(C46,'Fixed inputs'!$D$6:$D$18,0))</f>
        <v>43374</v>
      </c>
      <c r="N46" s="104">
        <f t="shared" si="9"/>
        <v>43465</v>
      </c>
      <c r="O46" s="101" t="s">
        <v>24</v>
      </c>
      <c r="P46" s="101" t="str">
        <f t="shared" si="5"/>
        <v>=</v>
      </c>
      <c r="Q46" s="101" t="s">
        <v>24</v>
      </c>
      <c r="R46" s="105" t="str">
        <f t="shared" si="3"/>
        <v>Quarterly Commodity Prices_Nov-2017dummy</v>
      </c>
    </row>
    <row r="47" spans="1:32" x14ac:dyDescent="0.2">
      <c r="A47" s="97" t="str">
        <f>'Fuel adder inputs and calcs'!C42</f>
        <v>Gas</v>
      </c>
      <c r="B47" s="97" t="str">
        <f>'Fuel adder inputs and calcs'!D42</f>
        <v>GB</v>
      </c>
      <c r="C47" s="97" t="str">
        <f>'Fuel adder inputs and calcs'!E42&amp;'Fuel adder inputs and calcs'!F42</f>
        <v>2019Q1</v>
      </c>
      <c r="D47" s="97" t="str">
        <f>B47&amp;" "&amp;INDEX('Fixed inputs'!$D$34:$D$37,MATCH(A47,rngFuels,0))</f>
        <v>GB Gas</v>
      </c>
      <c r="E47" s="68"/>
      <c r="G47" s="101" t="str">
        <f t="shared" si="2"/>
        <v>GB Gas</v>
      </c>
      <c r="H47" s="101" t="s">
        <v>22</v>
      </c>
      <c r="I47" s="102">
        <f ca="1">INDEX(rngFuelPricesDeterministic,MATCH($C47,'Commodity inputs and calcs'!$L$14:$L$21,0),MATCH($A47,'Commodity inputs and calcs'!$M$13:$P$13,0))+'Fuel adder inputs and calcs'!Q42</f>
        <v>6.0274831232477215</v>
      </c>
      <c r="J47" s="102"/>
      <c r="K47" s="101" t="s">
        <v>23</v>
      </c>
      <c r="L47" s="103">
        <v>1</v>
      </c>
      <c r="M47" s="104">
        <f>INDEX('Fixed inputs'!$G$6:$G$18,MATCH(C47,'Fixed inputs'!$D$6:$D$18,0))</f>
        <v>43466</v>
      </c>
      <c r="N47" s="104">
        <f t="shared" si="9"/>
        <v>43555</v>
      </c>
      <c r="O47" s="101" t="s">
        <v>24</v>
      </c>
      <c r="P47" s="101" t="str">
        <f t="shared" si="5"/>
        <v>=</v>
      </c>
      <c r="Q47" s="101" t="s">
        <v>24</v>
      </c>
      <c r="R47" s="105" t="str">
        <f t="shared" si="3"/>
        <v>Quarterly Commodity Prices_Nov-2017dummy</v>
      </c>
    </row>
    <row r="48" spans="1:32" x14ac:dyDescent="0.2">
      <c r="A48" s="97" t="str">
        <f>'Fuel adder inputs and calcs'!C43</f>
        <v>Gas</v>
      </c>
      <c r="B48" s="97" t="str">
        <f>'Fuel adder inputs and calcs'!D43</f>
        <v>GB</v>
      </c>
      <c r="C48" s="97" t="str">
        <f>'Fuel adder inputs and calcs'!E43&amp;'Fuel adder inputs and calcs'!F43</f>
        <v>2019Q2</v>
      </c>
      <c r="D48" s="97" t="str">
        <f>B48&amp;" "&amp;INDEX('Fixed inputs'!$D$34:$D$37,MATCH(A48,rngFuels,0))</f>
        <v>GB Gas</v>
      </c>
      <c r="E48" s="68"/>
      <c r="G48" s="101" t="str">
        <f t="shared" si="2"/>
        <v>GB Gas</v>
      </c>
      <c r="H48" s="101" t="s">
        <v>22</v>
      </c>
      <c r="I48" s="102">
        <f ca="1">INDEX(rngFuelPricesDeterministic,MATCH($C48,'Commodity inputs and calcs'!$L$14:$L$21,0),MATCH($A48,'Commodity inputs and calcs'!$M$13:$P$13,0))+'Fuel adder inputs and calcs'!Q43</f>
        <v>5.198461046684125</v>
      </c>
      <c r="J48" s="102"/>
      <c r="K48" s="101" t="s">
        <v>23</v>
      </c>
      <c r="L48" s="103">
        <v>1</v>
      </c>
      <c r="M48" s="104">
        <f>INDEX('Fixed inputs'!$G$6:$G$18,MATCH(C48,'Fixed inputs'!$D$6:$D$18,0))</f>
        <v>43556</v>
      </c>
      <c r="N48" s="104">
        <f t="shared" si="9"/>
        <v>43646</v>
      </c>
      <c r="O48" s="101" t="s">
        <v>24</v>
      </c>
      <c r="P48" s="101" t="str">
        <f t="shared" si="5"/>
        <v>=</v>
      </c>
      <c r="Q48" s="101" t="s">
        <v>24</v>
      </c>
      <c r="R48" s="105" t="str">
        <f t="shared" si="3"/>
        <v>Quarterly Commodity Prices_Nov-2017dummy</v>
      </c>
    </row>
    <row r="49" spans="1:18" x14ac:dyDescent="0.2">
      <c r="A49" s="97" t="str">
        <f>'Fuel adder inputs and calcs'!C44</f>
        <v>Gas</v>
      </c>
      <c r="B49" s="97" t="str">
        <f>'Fuel adder inputs and calcs'!D44</f>
        <v>GB</v>
      </c>
      <c r="C49" s="97" t="str">
        <f>'Fuel adder inputs and calcs'!E44&amp;'Fuel adder inputs and calcs'!F44</f>
        <v>2019Q3</v>
      </c>
      <c r="D49" s="97" t="str">
        <f>B49&amp;" "&amp;INDEX('Fixed inputs'!$D$34:$D$37,MATCH(A49,rngFuels,0))</f>
        <v>GB Gas</v>
      </c>
      <c r="E49" s="68"/>
      <c r="G49" s="101" t="str">
        <f t="shared" si="2"/>
        <v>GB Gas</v>
      </c>
      <c r="H49" s="101" t="s">
        <v>22</v>
      </c>
      <c r="I49" s="102">
        <f ca="1">INDEX(rngFuelPricesDeterministic,MATCH($C49,'Commodity inputs and calcs'!$L$14:$L$21,0),MATCH($A49,'Commodity inputs and calcs'!$M$13:$P$13,0))+'Fuel adder inputs and calcs'!Q44</f>
        <v>5.198461046684125</v>
      </c>
      <c r="J49" s="102"/>
      <c r="K49" s="101" t="s">
        <v>23</v>
      </c>
      <c r="L49" s="103">
        <v>1</v>
      </c>
      <c r="M49" s="104">
        <f>INDEX('Fixed inputs'!$G$6:$G$18,MATCH(C49,'Fixed inputs'!$D$6:$D$18,0))</f>
        <v>43647</v>
      </c>
      <c r="N49" s="104">
        <f t="shared" si="9"/>
        <v>43738</v>
      </c>
      <c r="O49" s="101" t="s">
        <v>24</v>
      </c>
      <c r="P49" s="101" t="str">
        <f t="shared" si="5"/>
        <v>=</v>
      </c>
      <c r="Q49" s="101" t="s">
        <v>24</v>
      </c>
      <c r="R49" s="105" t="str">
        <f t="shared" si="3"/>
        <v>Quarterly Commodity Prices_Nov-2017dummy</v>
      </c>
    </row>
    <row r="50" spans="1:18" x14ac:dyDescent="0.2">
      <c r="A50" s="97" t="str">
        <f>'Fuel adder inputs and calcs'!C45</f>
        <v>Gas</v>
      </c>
      <c r="B50" s="97" t="str">
        <f>'Fuel adder inputs and calcs'!D45</f>
        <v>GB</v>
      </c>
      <c r="C50" s="97" t="str">
        <f>'Fuel adder inputs and calcs'!E45&amp;'Fuel adder inputs and calcs'!F45</f>
        <v>2019Q4</v>
      </c>
      <c r="D50" s="97" t="str">
        <f>B50&amp;" "&amp;INDEX('Fixed inputs'!$D$34:$D$37,MATCH(A50,rngFuels,0))</f>
        <v>GB Gas</v>
      </c>
      <c r="E50" s="68"/>
      <c r="G50" s="101" t="str">
        <f t="shared" si="2"/>
        <v>GB Gas</v>
      </c>
      <c r="H50" s="101" t="s">
        <v>22</v>
      </c>
      <c r="I50" s="102">
        <f ca="1">INDEX(rngFuelPricesDeterministic,MATCH($C50,'Commodity inputs and calcs'!$L$14:$L$21,0),MATCH($A50,'Commodity inputs and calcs'!$M$13:$P$13,0))+'Fuel adder inputs and calcs'!Q45</f>
        <v>6.0274831232477215</v>
      </c>
      <c r="J50" s="102"/>
      <c r="K50" s="101" t="s">
        <v>23</v>
      </c>
      <c r="L50" s="103">
        <v>1</v>
      </c>
      <c r="M50" s="104">
        <f>INDEX('Fixed inputs'!$G$6:$G$18,MATCH(C50,'Fixed inputs'!$D$6:$D$18,0))</f>
        <v>43739</v>
      </c>
      <c r="N50" s="104" t="str">
        <f t="shared" si="9"/>
        <v/>
      </c>
      <c r="O50" s="101" t="s">
        <v>24</v>
      </c>
      <c r="P50" s="101" t="str">
        <f t="shared" si="5"/>
        <v>=</v>
      </c>
      <c r="Q50" s="101" t="s">
        <v>24</v>
      </c>
      <c r="R50" s="105" t="str">
        <f t="shared" si="3"/>
        <v>Quarterly Commodity Prices_Nov-2017dummy</v>
      </c>
    </row>
    <row r="51" spans="1:18" x14ac:dyDescent="0.2">
      <c r="A51" s="97" t="str">
        <f>'Fuel adder inputs and calcs'!C46</f>
        <v>Gasoil</v>
      </c>
      <c r="B51" s="97" t="str">
        <f>'Fuel adder inputs and calcs'!D46</f>
        <v>RoI</v>
      </c>
      <c r="C51" s="97" t="str">
        <f>'Fuel adder inputs and calcs'!E46&amp;'Fuel adder inputs and calcs'!F46</f>
        <v>2018Q1</v>
      </c>
      <c r="D51" s="97" t="str">
        <f>B51&amp;" "&amp;INDEX('Fixed inputs'!$D$34:$D$37,MATCH(A51,rngFuels,0))</f>
        <v>RoI Distillate</v>
      </c>
      <c r="E51" s="68"/>
      <c r="G51" s="101" t="str">
        <f t="shared" si="2"/>
        <v>RoI Distillate</v>
      </c>
      <c r="H51" s="101" t="s">
        <v>22</v>
      </c>
      <c r="I51" s="102">
        <f ca="1">INDEX(rngFuelPricesDeterministic,MATCH($C51,'Commodity inputs and calcs'!$L$14:$L$21,0),MATCH($A51,'Commodity inputs and calcs'!$M$13:$P$13,0))+'Fuel adder inputs and calcs'!Q46</f>
        <v>11.938873515092252</v>
      </c>
      <c r="J51" s="102"/>
      <c r="K51" s="101" t="s">
        <v>23</v>
      </c>
      <c r="L51" s="103">
        <v>1</v>
      </c>
      <c r="M51" s="104">
        <f>INDEX('Fixed inputs'!$G$6:$G$18,MATCH(C51,'Fixed inputs'!$D$6:$D$18,0))</f>
        <v>43101</v>
      </c>
      <c r="N51" s="104">
        <f t="shared" si="9"/>
        <v>43190</v>
      </c>
      <c r="O51" s="101" t="s">
        <v>24</v>
      </c>
      <c r="P51" s="101" t="str">
        <f t="shared" si="5"/>
        <v>=</v>
      </c>
      <c r="Q51" s="101" t="s">
        <v>24</v>
      </c>
      <c r="R51" s="105" t="str">
        <f t="shared" si="3"/>
        <v>Quarterly Commodity Prices_Nov-2017dummy</v>
      </c>
    </row>
    <row r="52" spans="1:18" x14ac:dyDescent="0.2">
      <c r="A52" s="97" t="str">
        <f>'Fuel adder inputs and calcs'!C47</f>
        <v>Gasoil</v>
      </c>
      <c r="B52" s="97" t="str">
        <f>'Fuel adder inputs and calcs'!D47</f>
        <v>RoI</v>
      </c>
      <c r="C52" s="97" t="str">
        <f>'Fuel adder inputs and calcs'!E47&amp;'Fuel adder inputs and calcs'!F47</f>
        <v>2018Q2</v>
      </c>
      <c r="D52" s="97" t="str">
        <f>B52&amp;" "&amp;INDEX('Fixed inputs'!$D$34:$D$37,MATCH(A52,rngFuels,0))</f>
        <v>RoI Distillate</v>
      </c>
      <c r="E52" s="68"/>
      <c r="G52" s="101" t="str">
        <f t="shared" si="2"/>
        <v>RoI Distillate</v>
      </c>
      <c r="H52" s="101" t="s">
        <v>22</v>
      </c>
      <c r="I52" s="102">
        <f ca="1">INDEX(rngFuelPricesDeterministic,MATCH($C52,'Commodity inputs and calcs'!$L$14:$L$21,0),MATCH($A52,'Commodity inputs and calcs'!$M$13:$P$13,0))+'Fuel adder inputs and calcs'!Q47</f>
        <v>11.938873515092252</v>
      </c>
      <c r="J52" s="102"/>
      <c r="K52" s="101" t="s">
        <v>23</v>
      </c>
      <c r="L52" s="103">
        <v>1</v>
      </c>
      <c r="M52" s="104">
        <f>INDEX('Fixed inputs'!$G$6:$G$18,MATCH(C52,'Fixed inputs'!$D$6:$D$18,0))</f>
        <v>43191</v>
      </c>
      <c r="N52" s="104">
        <f t="shared" si="9"/>
        <v>43281</v>
      </c>
      <c r="O52" s="101" t="s">
        <v>24</v>
      </c>
      <c r="P52" s="101" t="str">
        <f t="shared" si="5"/>
        <v>=</v>
      </c>
      <c r="Q52" s="101" t="s">
        <v>24</v>
      </c>
      <c r="R52" s="105" t="str">
        <f t="shared" si="3"/>
        <v>Quarterly Commodity Prices_Nov-2017dummy</v>
      </c>
    </row>
    <row r="53" spans="1:18" x14ac:dyDescent="0.2">
      <c r="A53" s="97" t="str">
        <f>'Fuel adder inputs and calcs'!C48</f>
        <v>Gasoil</v>
      </c>
      <c r="B53" s="97" t="str">
        <f>'Fuel adder inputs and calcs'!D48</f>
        <v>RoI</v>
      </c>
      <c r="C53" s="97" t="str">
        <f>'Fuel adder inputs and calcs'!E48&amp;'Fuel adder inputs and calcs'!F48</f>
        <v>2018Q3</v>
      </c>
      <c r="D53" s="97" t="str">
        <f>B53&amp;" "&amp;INDEX('Fixed inputs'!$D$34:$D$37,MATCH(A53,rngFuels,0))</f>
        <v>RoI Distillate</v>
      </c>
      <c r="E53" s="68"/>
      <c r="G53" s="101" t="str">
        <f t="shared" si="2"/>
        <v>RoI Distillate</v>
      </c>
      <c r="H53" s="101" t="s">
        <v>22</v>
      </c>
      <c r="I53" s="102">
        <f ca="1">INDEX(rngFuelPricesDeterministic,MATCH($C53,'Commodity inputs and calcs'!$L$14:$L$21,0),MATCH($A53,'Commodity inputs and calcs'!$M$13:$P$13,0))+'Fuel adder inputs and calcs'!Q48</f>
        <v>11.938873515092252</v>
      </c>
      <c r="J53" s="102"/>
      <c r="K53" s="101" t="s">
        <v>23</v>
      </c>
      <c r="L53" s="103">
        <v>1</v>
      </c>
      <c r="M53" s="104">
        <f>INDEX('Fixed inputs'!$G$6:$G$18,MATCH(C53,'Fixed inputs'!$D$6:$D$18,0))</f>
        <v>43282</v>
      </c>
      <c r="N53" s="104">
        <f t="shared" si="9"/>
        <v>43373</v>
      </c>
      <c r="O53" s="101" t="s">
        <v>24</v>
      </c>
      <c r="P53" s="101" t="str">
        <f t="shared" si="5"/>
        <v>=</v>
      </c>
      <c r="Q53" s="101" t="s">
        <v>24</v>
      </c>
      <c r="R53" s="105" t="str">
        <f t="shared" si="3"/>
        <v>Quarterly Commodity Prices_Nov-2017dummy</v>
      </c>
    </row>
    <row r="54" spans="1:18" x14ac:dyDescent="0.2">
      <c r="A54" s="97" t="str">
        <f>'Fuel adder inputs and calcs'!C49</f>
        <v>Gasoil</v>
      </c>
      <c r="B54" s="97" t="str">
        <f>'Fuel adder inputs and calcs'!D49</f>
        <v>RoI</v>
      </c>
      <c r="C54" s="97" t="str">
        <f>'Fuel adder inputs and calcs'!E49&amp;'Fuel adder inputs and calcs'!F49</f>
        <v>2018Q4</v>
      </c>
      <c r="D54" s="97" t="str">
        <f>B54&amp;" "&amp;INDEX('Fixed inputs'!$D$34:$D$37,MATCH(A54,rngFuels,0))</f>
        <v>RoI Distillate</v>
      </c>
      <c r="E54" s="68"/>
      <c r="G54" s="101" t="str">
        <f>D54</f>
        <v>RoI Distillate</v>
      </c>
      <c r="H54" s="101" t="s">
        <v>22</v>
      </c>
      <c r="I54" s="102">
        <f ca="1">INDEX(rngFuelPricesDeterministic,MATCH($C54,'Commodity inputs and calcs'!$L$14:$L$21,0),MATCH($A54,'Commodity inputs and calcs'!$M$13:$P$13,0))+'Fuel adder inputs and calcs'!Q49</f>
        <v>11.938873515092252</v>
      </c>
      <c r="J54" s="102"/>
      <c r="K54" s="101" t="s">
        <v>23</v>
      </c>
      <c r="L54" s="103">
        <v>1</v>
      </c>
      <c r="M54" s="104">
        <f>INDEX('Fixed inputs'!$G$6:$G$18,MATCH(C54,'Fixed inputs'!$D$6:$D$18,0))</f>
        <v>43374</v>
      </c>
      <c r="N54" s="104">
        <f t="shared" si="9"/>
        <v>43465</v>
      </c>
      <c r="O54" s="101" t="s">
        <v>24</v>
      </c>
      <c r="P54" s="101" t="str">
        <f t="shared" si="5"/>
        <v>=</v>
      </c>
      <c r="Q54" s="101" t="s">
        <v>24</v>
      </c>
      <c r="R54" s="105" t="str">
        <f t="shared" si="3"/>
        <v>Quarterly Commodity Prices_Nov-2017dummy</v>
      </c>
    </row>
    <row r="55" spans="1:18" x14ac:dyDescent="0.2">
      <c r="A55" s="97" t="str">
        <f>'Fuel adder inputs and calcs'!C50</f>
        <v>Gasoil</v>
      </c>
      <c r="B55" s="97" t="str">
        <f>'Fuel adder inputs and calcs'!D50</f>
        <v>RoI</v>
      </c>
      <c r="C55" s="97" t="str">
        <f>'Fuel adder inputs and calcs'!E50&amp;'Fuel adder inputs and calcs'!F50</f>
        <v>2019Q1</v>
      </c>
      <c r="D55" s="97" t="str">
        <f>B55&amp;" "&amp;INDEX('Fixed inputs'!$D$34:$D$37,MATCH(A55,rngFuels,0))</f>
        <v>RoI Distillate</v>
      </c>
      <c r="E55" s="68"/>
      <c r="G55" s="101" t="str">
        <f t="shared" si="2"/>
        <v>RoI Distillate</v>
      </c>
      <c r="H55" s="101" t="s">
        <v>22</v>
      </c>
      <c r="I55" s="102">
        <f ca="1">INDEX(rngFuelPricesDeterministic,MATCH($C55,'Commodity inputs and calcs'!$L$14:$L$21,0),MATCH($A55,'Commodity inputs and calcs'!$M$13:$P$13,0))+'Fuel adder inputs and calcs'!Q50</f>
        <v>11.938873515092252</v>
      </c>
      <c r="J55" s="102"/>
      <c r="K55" s="101" t="s">
        <v>23</v>
      </c>
      <c r="L55" s="103">
        <v>1</v>
      </c>
      <c r="M55" s="104">
        <f>INDEX('Fixed inputs'!$G$6:$G$18,MATCH(C55,'Fixed inputs'!$D$6:$D$18,0))</f>
        <v>43466</v>
      </c>
      <c r="N55" s="104">
        <f t="shared" si="9"/>
        <v>43555</v>
      </c>
      <c r="O55" s="101" t="s">
        <v>24</v>
      </c>
      <c r="P55" s="101" t="str">
        <f t="shared" si="5"/>
        <v>=</v>
      </c>
      <c r="Q55" s="101" t="s">
        <v>24</v>
      </c>
      <c r="R55" s="105" t="str">
        <f t="shared" si="3"/>
        <v>Quarterly Commodity Prices_Nov-2017dummy</v>
      </c>
    </row>
    <row r="56" spans="1:18" x14ac:dyDescent="0.2">
      <c r="A56" s="97" t="str">
        <f>'Fuel adder inputs and calcs'!C51</f>
        <v>Gasoil</v>
      </c>
      <c r="B56" s="97" t="str">
        <f>'Fuel adder inputs and calcs'!D51</f>
        <v>RoI</v>
      </c>
      <c r="C56" s="97" t="str">
        <f>'Fuel adder inputs and calcs'!E51&amp;'Fuel adder inputs and calcs'!F51</f>
        <v>2019Q2</v>
      </c>
      <c r="D56" s="97" t="str">
        <f>B56&amp;" "&amp;INDEX('Fixed inputs'!$D$34:$D$37,MATCH(A56,rngFuels,0))</f>
        <v>RoI Distillate</v>
      </c>
      <c r="E56" s="68"/>
      <c r="G56" s="101" t="str">
        <f t="shared" si="2"/>
        <v>RoI Distillate</v>
      </c>
      <c r="H56" s="101" t="s">
        <v>22</v>
      </c>
      <c r="I56" s="102">
        <f ca="1">INDEX(rngFuelPricesDeterministic,MATCH($C56,'Commodity inputs and calcs'!$L$14:$L$21,0),MATCH($A56,'Commodity inputs and calcs'!$M$13:$P$13,0))+'Fuel adder inputs and calcs'!Q51</f>
        <v>11.938873515092252</v>
      </c>
      <c r="J56" s="102"/>
      <c r="K56" s="101" t="s">
        <v>23</v>
      </c>
      <c r="L56" s="103">
        <v>1</v>
      </c>
      <c r="M56" s="104">
        <f>INDEX('Fixed inputs'!$G$6:$G$18,MATCH(C56,'Fixed inputs'!$D$6:$D$18,0))</f>
        <v>43556</v>
      </c>
      <c r="N56" s="104">
        <f t="shared" si="9"/>
        <v>43646</v>
      </c>
      <c r="O56" s="101" t="s">
        <v>24</v>
      </c>
      <c r="P56" s="101" t="str">
        <f t="shared" si="5"/>
        <v>=</v>
      </c>
      <c r="Q56" s="101" t="s">
        <v>24</v>
      </c>
      <c r="R56" s="105" t="str">
        <f t="shared" si="3"/>
        <v>Quarterly Commodity Prices_Nov-2017dummy</v>
      </c>
    </row>
    <row r="57" spans="1:18" x14ac:dyDescent="0.2">
      <c r="A57" s="97" t="str">
        <f>'Fuel adder inputs and calcs'!C52</f>
        <v>Gasoil</v>
      </c>
      <c r="B57" s="97" t="str">
        <f>'Fuel adder inputs and calcs'!D52</f>
        <v>RoI</v>
      </c>
      <c r="C57" s="97" t="str">
        <f>'Fuel adder inputs and calcs'!E52&amp;'Fuel adder inputs and calcs'!F52</f>
        <v>2019Q3</v>
      </c>
      <c r="D57" s="97" t="str">
        <f>B57&amp;" "&amp;INDEX('Fixed inputs'!$D$34:$D$37,MATCH(A57,rngFuels,0))</f>
        <v>RoI Distillate</v>
      </c>
      <c r="E57" s="68"/>
      <c r="G57" s="101" t="str">
        <f t="shared" si="2"/>
        <v>RoI Distillate</v>
      </c>
      <c r="H57" s="101" t="s">
        <v>22</v>
      </c>
      <c r="I57" s="102">
        <f ca="1">INDEX(rngFuelPricesDeterministic,MATCH($C57,'Commodity inputs and calcs'!$L$14:$L$21,0),MATCH($A57,'Commodity inputs and calcs'!$M$13:$P$13,0))+'Fuel adder inputs and calcs'!Q52</f>
        <v>11.938873515092252</v>
      </c>
      <c r="J57" s="102"/>
      <c r="K57" s="101" t="s">
        <v>23</v>
      </c>
      <c r="L57" s="103">
        <v>1</v>
      </c>
      <c r="M57" s="104">
        <f>INDEX('Fixed inputs'!$G$6:$G$18,MATCH(C57,'Fixed inputs'!$D$6:$D$18,0))</f>
        <v>43647</v>
      </c>
      <c r="N57" s="104">
        <f t="shared" si="9"/>
        <v>43738</v>
      </c>
      <c r="O57" s="101" t="s">
        <v>24</v>
      </c>
      <c r="P57" s="101" t="str">
        <f t="shared" si="5"/>
        <v>=</v>
      </c>
      <c r="Q57" s="101" t="s">
        <v>24</v>
      </c>
      <c r="R57" s="105" t="str">
        <f t="shared" si="3"/>
        <v>Quarterly Commodity Prices_Nov-2017dummy</v>
      </c>
    </row>
    <row r="58" spans="1:18" x14ac:dyDescent="0.2">
      <c r="A58" s="97" t="str">
        <f>'Fuel adder inputs and calcs'!C53</f>
        <v>Gasoil</v>
      </c>
      <c r="B58" s="97" t="str">
        <f>'Fuel adder inputs and calcs'!D53</f>
        <v>RoI</v>
      </c>
      <c r="C58" s="97" t="str">
        <f>'Fuel adder inputs and calcs'!E53&amp;'Fuel adder inputs and calcs'!F53</f>
        <v>2019Q4</v>
      </c>
      <c r="D58" s="97" t="str">
        <f>B58&amp;" "&amp;INDEX('Fixed inputs'!$D$34:$D$37,MATCH(A58,rngFuels,0))</f>
        <v>RoI Distillate</v>
      </c>
      <c r="E58" s="68"/>
      <c r="G58" s="101" t="str">
        <f t="shared" si="2"/>
        <v>RoI Distillate</v>
      </c>
      <c r="H58" s="101" t="s">
        <v>22</v>
      </c>
      <c r="I58" s="102">
        <f ca="1">INDEX(rngFuelPricesDeterministic,MATCH($C58,'Commodity inputs and calcs'!$L$14:$L$21,0),MATCH($A58,'Commodity inputs and calcs'!$M$13:$P$13,0))+'Fuel adder inputs and calcs'!Q53</f>
        <v>11.938873515092252</v>
      </c>
      <c r="J58" s="102"/>
      <c r="K58" s="101" t="s">
        <v>23</v>
      </c>
      <c r="L58" s="103">
        <v>1</v>
      </c>
      <c r="M58" s="104">
        <f>INDEX('Fixed inputs'!$G$6:$G$18,MATCH(C58,'Fixed inputs'!$D$6:$D$18,0))</f>
        <v>43739</v>
      </c>
      <c r="N58" s="104" t="str">
        <f t="shared" si="9"/>
        <v/>
      </c>
      <c r="O58" s="101" t="s">
        <v>24</v>
      </c>
      <c r="P58" s="101" t="str">
        <f t="shared" si="5"/>
        <v>=</v>
      </c>
      <c r="Q58" s="101" t="s">
        <v>24</v>
      </c>
      <c r="R58" s="105" t="str">
        <f t="shared" si="3"/>
        <v>Quarterly Commodity Prices_Nov-2017dummy</v>
      </c>
    </row>
    <row r="59" spans="1:18" x14ac:dyDescent="0.2">
      <c r="A59" s="97" t="str">
        <f>'Fuel adder inputs and calcs'!C54</f>
        <v>Gasoil</v>
      </c>
      <c r="B59" s="97" t="str">
        <f>'Fuel adder inputs and calcs'!D54</f>
        <v>NI</v>
      </c>
      <c r="C59" s="97" t="str">
        <f>'Fuel adder inputs and calcs'!E54&amp;'Fuel adder inputs and calcs'!F54</f>
        <v>2018Q1</v>
      </c>
      <c r="D59" s="97" t="str">
        <f>B59&amp;" "&amp;INDEX('Fixed inputs'!$D$34:$D$37,MATCH(A59,rngFuels,0))</f>
        <v>NI Distillate</v>
      </c>
      <c r="E59" s="68"/>
      <c r="G59" s="101" t="str">
        <f t="shared" si="2"/>
        <v>NI Distillate</v>
      </c>
      <c r="H59" s="101" t="s">
        <v>22</v>
      </c>
      <c r="I59" s="102">
        <f ca="1">INDEX(rngFuelPricesDeterministic,MATCH($C59,'Commodity inputs and calcs'!$L$14:$L$21,0),MATCH($A59,'Commodity inputs and calcs'!$M$13:$P$13,0))+'Fuel adder inputs and calcs'!Q54</f>
        <v>11.52609522967936</v>
      </c>
      <c r="J59" s="102"/>
      <c r="K59" s="101" t="s">
        <v>23</v>
      </c>
      <c r="L59" s="103">
        <v>1</v>
      </c>
      <c r="M59" s="104">
        <f>INDEX('Fixed inputs'!$G$6:$G$18,MATCH(C59,'Fixed inputs'!$D$6:$D$18,0))</f>
        <v>43101</v>
      </c>
      <c r="N59" s="104">
        <f t="shared" si="9"/>
        <v>43190</v>
      </c>
      <c r="O59" s="101" t="s">
        <v>24</v>
      </c>
      <c r="P59" s="101" t="str">
        <f t="shared" si="5"/>
        <v>=</v>
      </c>
      <c r="Q59" s="101" t="s">
        <v>24</v>
      </c>
      <c r="R59" s="105" t="str">
        <f t="shared" si="3"/>
        <v>Quarterly Commodity Prices_Nov-2017dummy</v>
      </c>
    </row>
    <row r="60" spans="1:18" x14ac:dyDescent="0.2">
      <c r="A60" s="97" t="str">
        <f>'Fuel adder inputs and calcs'!C55</f>
        <v>Gasoil</v>
      </c>
      <c r="B60" s="97" t="str">
        <f>'Fuel adder inputs and calcs'!D55</f>
        <v>NI</v>
      </c>
      <c r="C60" s="97" t="str">
        <f>'Fuel adder inputs and calcs'!E55&amp;'Fuel adder inputs and calcs'!F55</f>
        <v>2018Q2</v>
      </c>
      <c r="D60" s="97" t="str">
        <f>B60&amp;" "&amp;INDEX('Fixed inputs'!$D$34:$D$37,MATCH(A60,rngFuels,0))</f>
        <v>NI Distillate</v>
      </c>
      <c r="E60" s="68"/>
      <c r="G60" s="101" t="str">
        <f t="shared" si="2"/>
        <v>NI Distillate</v>
      </c>
      <c r="H60" s="101" t="s">
        <v>22</v>
      </c>
      <c r="I60" s="102">
        <f ca="1">INDEX(rngFuelPricesDeterministic,MATCH($C60,'Commodity inputs and calcs'!$L$14:$L$21,0),MATCH($A60,'Commodity inputs and calcs'!$M$13:$P$13,0))+'Fuel adder inputs and calcs'!Q55</f>
        <v>11.52609522967936</v>
      </c>
      <c r="J60" s="102"/>
      <c r="K60" s="101" t="s">
        <v>23</v>
      </c>
      <c r="L60" s="103">
        <v>1</v>
      </c>
      <c r="M60" s="104">
        <f>INDEX('Fixed inputs'!$G$6:$G$18,MATCH(C60,'Fixed inputs'!$D$6:$D$18,0))</f>
        <v>43191</v>
      </c>
      <c r="N60" s="104">
        <f t="shared" si="9"/>
        <v>43281</v>
      </c>
      <c r="O60" s="101" t="s">
        <v>24</v>
      </c>
      <c r="P60" s="101" t="str">
        <f t="shared" si="5"/>
        <v>=</v>
      </c>
      <c r="Q60" s="101" t="s">
        <v>24</v>
      </c>
      <c r="R60" s="105" t="str">
        <f t="shared" si="3"/>
        <v>Quarterly Commodity Prices_Nov-2017dummy</v>
      </c>
    </row>
    <row r="61" spans="1:18" x14ac:dyDescent="0.2">
      <c r="A61" s="97" t="str">
        <f>'Fuel adder inputs and calcs'!C56</f>
        <v>Gasoil</v>
      </c>
      <c r="B61" s="97" t="str">
        <f>'Fuel adder inputs and calcs'!D56</f>
        <v>NI</v>
      </c>
      <c r="C61" s="97" t="str">
        <f>'Fuel adder inputs and calcs'!E56&amp;'Fuel adder inputs and calcs'!F56</f>
        <v>2018Q3</v>
      </c>
      <c r="D61" s="97" t="str">
        <f>B61&amp;" "&amp;INDEX('Fixed inputs'!$D$34:$D$37,MATCH(A61,rngFuels,0))</f>
        <v>NI Distillate</v>
      </c>
      <c r="E61" s="68"/>
      <c r="G61" s="101" t="str">
        <f t="shared" si="2"/>
        <v>NI Distillate</v>
      </c>
      <c r="H61" s="101" t="s">
        <v>22</v>
      </c>
      <c r="I61" s="102">
        <f ca="1">INDEX(rngFuelPricesDeterministic,MATCH($C61,'Commodity inputs and calcs'!$L$14:$L$21,0),MATCH($A61,'Commodity inputs and calcs'!$M$13:$P$13,0))+'Fuel adder inputs and calcs'!Q56</f>
        <v>11.52609522967936</v>
      </c>
      <c r="J61" s="102"/>
      <c r="K61" s="101" t="s">
        <v>23</v>
      </c>
      <c r="L61" s="103">
        <v>1</v>
      </c>
      <c r="M61" s="104">
        <f>INDEX('Fixed inputs'!$G$6:$G$18,MATCH(C61,'Fixed inputs'!$D$6:$D$18,0))</f>
        <v>43282</v>
      </c>
      <c r="N61" s="104">
        <f t="shared" si="9"/>
        <v>43373</v>
      </c>
      <c r="O61" s="101" t="s">
        <v>24</v>
      </c>
      <c r="P61" s="101" t="str">
        <f t="shared" si="5"/>
        <v>=</v>
      </c>
      <c r="Q61" s="101" t="s">
        <v>24</v>
      </c>
      <c r="R61" s="105" t="str">
        <f t="shared" si="3"/>
        <v>Quarterly Commodity Prices_Nov-2017dummy</v>
      </c>
    </row>
    <row r="62" spans="1:18" x14ac:dyDescent="0.2">
      <c r="A62" s="97" t="str">
        <f>'Fuel adder inputs and calcs'!C57</f>
        <v>Gasoil</v>
      </c>
      <c r="B62" s="97" t="str">
        <f>'Fuel adder inputs and calcs'!D57</f>
        <v>NI</v>
      </c>
      <c r="C62" s="97" t="str">
        <f>'Fuel adder inputs and calcs'!E57&amp;'Fuel adder inputs and calcs'!F57</f>
        <v>2018Q4</v>
      </c>
      <c r="D62" s="97" t="str">
        <f>B62&amp;" "&amp;INDEX('Fixed inputs'!$D$34:$D$37,MATCH(A62,rngFuels,0))</f>
        <v>NI Distillate</v>
      </c>
      <c r="E62" s="68"/>
      <c r="G62" s="101" t="str">
        <f t="shared" si="2"/>
        <v>NI Distillate</v>
      </c>
      <c r="H62" s="101" t="s">
        <v>22</v>
      </c>
      <c r="I62" s="102">
        <f ca="1">INDEX(rngFuelPricesDeterministic,MATCH($C62,'Commodity inputs and calcs'!$L$14:$L$21,0),MATCH($A62,'Commodity inputs and calcs'!$M$13:$P$13,0))+'Fuel adder inputs and calcs'!Q57</f>
        <v>11.52609522967936</v>
      </c>
      <c r="J62" s="102"/>
      <c r="K62" s="101" t="s">
        <v>23</v>
      </c>
      <c r="L62" s="103">
        <v>1</v>
      </c>
      <c r="M62" s="104">
        <f>INDEX('Fixed inputs'!$G$6:$G$18,MATCH(C62,'Fixed inputs'!$D$6:$D$18,0))</f>
        <v>43374</v>
      </c>
      <c r="N62" s="104">
        <f t="shared" si="9"/>
        <v>43465</v>
      </c>
      <c r="O62" s="101" t="s">
        <v>24</v>
      </c>
      <c r="P62" s="101" t="str">
        <f t="shared" si="5"/>
        <v>=</v>
      </c>
      <c r="Q62" s="101" t="s">
        <v>24</v>
      </c>
      <c r="R62" s="105" t="str">
        <f t="shared" si="3"/>
        <v>Quarterly Commodity Prices_Nov-2017dummy</v>
      </c>
    </row>
    <row r="63" spans="1:18" x14ac:dyDescent="0.2">
      <c r="A63" s="97" t="str">
        <f>'Fuel adder inputs and calcs'!C58</f>
        <v>Gasoil</v>
      </c>
      <c r="B63" s="97" t="str">
        <f>'Fuel adder inputs and calcs'!D58</f>
        <v>NI</v>
      </c>
      <c r="C63" s="97" t="str">
        <f>'Fuel adder inputs and calcs'!E58&amp;'Fuel adder inputs and calcs'!F58</f>
        <v>2019Q1</v>
      </c>
      <c r="D63" s="97" t="str">
        <f>B63&amp;" "&amp;INDEX('Fixed inputs'!$D$34:$D$37,MATCH(A63,rngFuels,0))</f>
        <v>NI Distillate</v>
      </c>
      <c r="E63" s="68"/>
      <c r="G63" s="101" t="str">
        <f t="shared" si="2"/>
        <v>NI Distillate</v>
      </c>
      <c r="H63" s="101" t="s">
        <v>22</v>
      </c>
      <c r="I63" s="102">
        <f ca="1">INDEX(rngFuelPricesDeterministic,MATCH($C63,'Commodity inputs and calcs'!$L$14:$L$21,0),MATCH($A63,'Commodity inputs and calcs'!$M$13:$P$13,0))+'Fuel adder inputs and calcs'!Q58</f>
        <v>11.52609522967936</v>
      </c>
      <c r="J63" s="102"/>
      <c r="K63" s="101" t="s">
        <v>23</v>
      </c>
      <c r="L63" s="103">
        <v>1</v>
      </c>
      <c r="M63" s="104">
        <f>INDEX('Fixed inputs'!$G$6:$G$18,MATCH(C63,'Fixed inputs'!$D$6:$D$18,0))</f>
        <v>43466</v>
      </c>
      <c r="N63" s="104">
        <f t="shared" si="9"/>
        <v>43555</v>
      </c>
      <c r="O63" s="101" t="s">
        <v>24</v>
      </c>
      <c r="P63" s="101" t="str">
        <f t="shared" si="5"/>
        <v>=</v>
      </c>
      <c r="Q63" s="101" t="s">
        <v>24</v>
      </c>
      <c r="R63" s="105" t="str">
        <f t="shared" si="3"/>
        <v>Quarterly Commodity Prices_Nov-2017dummy</v>
      </c>
    </row>
    <row r="64" spans="1:18" x14ac:dyDescent="0.2">
      <c r="A64" s="97" t="str">
        <f>'Fuel adder inputs and calcs'!C59</f>
        <v>Gasoil</v>
      </c>
      <c r="B64" s="97" t="str">
        <f>'Fuel adder inputs and calcs'!D59</f>
        <v>NI</v>
      </c>
      <c r="C64" s="97" t="str">
        <f>'Fuel adder inputs and calcs'!E59&amp;'Fuel adder inputs and calcs'!F59</f>
        <v>2019Q2</v>
      </c>
      <c r="D64" s="97" t="str">
        <f>B64&amp;" "&amp;INDEX('Fixed inputs'!$D$34:$D$37,MATCH(A64,rngFuels,0))</f>
        <v>NI Distillate</v>
      </c>
      <c r="E64" s="68"/>
      <c r="G64" s="101" t="str">
        <f t="shared" si="2"/>
        <v>NI Distillate</v>
      </c>
      <c r="H64" s="101" t="s">
        <v>22</v>
      </c>
      <c r="I64" s="102">
        <f ca="1">INDEX(rngFuelPricesDeterministic,MATCH($C64,'Commodity inputs and calcs'!$L$14:$L$21,0),MATCH($A64,'Commodity inputs and calcs'!$M$13:$P$13,0))+'Fuel adder inputs and calcs'!Q59</f>
        <v>11.52609522967936</v>
      </c>
      <c r="J64" s="102"/>
      <c r="K64" s="101" t="s">
        <v>23</v>
      </c>
      <c r="L64" s="103">
        <v>1</v>
      </c>
      <c r="M64" s="104">
        <f>INDEX('Fixed inputs'!$G$6:$G$18,MATCH(C64,'Fixed inputs'!$D$6:$D$18,0))</f>
        <v>43556</v>
      </c>
      <c r="N64" s="104">
        <f t="shared" si="9"/>
        <v>43646</v>
      </c>
      <c r="O64" s="101" t="s">
        <v>24</v>
      </c>
      <c r="P64" s="101" t="str">
        <f t="shared" si="5"/>
        <v>=</v>
      </c>
      <c r="Q64" s="101" t="s">
        <v>24</v>
      </c>
      <c r="R64" s="105" t="str">
        <f t="shared" si="3"/>
        <v>Quarterly Commodity Prices_Nov-2017dummy</v>
      </c>
    </row>
    <row r="65" spans="1:18" x14ac:dyDescent="0.2">
      <c r="A65" s="97" t="str">
        <f>'Fuel adder inputs and calcs'!C60</f>
        <v>Gasoil</v>
      </c>
      <c r="B65" s="97" t="str">
        <f>'Fuel adder inputs and calcs'!D60</f>
        <v>NI</v>
      </c>
      <c r="C65" s="97" t="str">
        <f>'Fuel adder inputs and calcs'!E60&amp;'Fuel adder inputs and calcs'!F60</f>
        <v>2019Q3</v>
      </c>
      <c r="D65" s="97" t="str">
        <f>B65&amp;" "&amp;INDEX('Fixed inputs'!$D$34:$D$37,MATCH(A65,rngFuels,0))</f>
        <v>NI Distillate</v>
      </c>
      <c r="E65" s="68"/>
      <c r="G65" s="101" t="str">
        <f t="shared" si="2"/>
        <v>NI Distillate</v>
      </c>
      <c r="H65" s="101" t="s">
        <v>22</v>
      </c>
      <c r="I65" s="102">
        <f ca="1">INDEX(rngFuelPricesDeterministic,MATCH($C65,'Commodity inputs and calcs'!$L$14:$L$21,0),MATCH($A65,'Commodity inputs and calcs'!$M$13:$P$13,0))+'Fuel adder inputs and calcs'!Q60</f>
        <v>11.52609522967936</v>
      </c>
      <c r="J65" s="102"/>
      <c r="K65" s="101" t="s">
        <v>23</v>
      </c>
      <c r="L65" s="103">
        <v>1</v>
      </c>
      <c r="M65" s="104">
        <f>INDEX('Fixed inputs'!$G$6:$G$18,MATCH(C65,'Fixed inputs'!$D$6:$D$18,0))</f>
        <v>43647</v>
      </c>
      <c r="N65" s="104">
        <f t="shared" si="9"/>
        <v>43738</v>
      </c>
      <c r="O65" s="101" t="s">
        <v>24</v>
      </c>
      <c r="P65" s="101" t="str">
        <f t="shared" si="5"/>
        <v>=</v>
      </c>
      <c r="Q65" s="101" t="s">
        <v>24</v>
      </c>
      <c r="R65" s="105" t="str">
        <f t="shared" si="3"/>
        <v>Quarterly Commodity Prices_Nov-2017dummy</v>
      </c>
    </row>
    <row r="66" spans="1:18" x14ac:dyDescent="0.2">
      <c r="A66" s="97" t="str">
        <f>'Fuel adder inputs and calcs'!C61</f>
        <v>Gasoil</v>
      </c>
      <c r="B66" s="97" t="str">
        <f>'Fuel adder inputs and calcs'!D61</f>
        <v>NI</v>
      </c>
      <c r="C66" s="97" t="str">
        <f>'Fuel adder inputs and calcs'!E61&amp;'Fuel adder inputs and calcs'!F61</f>
        <v>2019Q4</v>
      </c>
      <c r="D66" s="97" t="str">
        <f>B66&amp;" "&amp;INDEX('Fixed inputs'!$D$34:$D$37,MATCH(A66,rngFuels,0))</f>
        <v>NI Distillate</v>
      </c>
      <c r="E66" s="68"/>
      <c r="G66" s="101" t="str">
        <f t="shared" si="2"/>
        <v>NI Distillate</v>
      </c>
      <c r="H66" s="101" t="s">
        <v>22</v>
      </c>
      <c r="I66" s="102">
        <f ca="1">INDEX(rngFuelPricesDeterministic,MATCH($C66,'Commodity inputs and calcs'!$L$14:$L$21,0),MATCH($A66,'Commodity inputs and calcs'!$M$13:$P$13,0))+'Fuel adder inputs and calcs'!Q61</f>
        <v>11.52609522967936</v>
      </c>
      <c r="J66" s="102"/>
      <c r="K66" s="101" t="s">
        <v>23</v>
      </c>
      <c r="L66" s="103">
        <v>1</v>
      </c>
      <c r="M66" s="104">
        <f>INDEX('Fixed inputs'!$G$6:$G$18,MATCH(C66,'Fixed inputs'!$D$6:$D$18,0))</f>
        <v>43739</v>
      </c>
      <c r="N66" s="104" t="str">
        <f t="shared" si="9"/>
        <v/>
      </c>
      <c r="O66" s="101" t="s">
        <v>24</v>
      </c>
      <c r="P66" s="101" t="str">
        <f t="shared" si="5"/>
        <v>=</v>
      </c>
      <c r="Q66" s="101" t="s">
        <v>24</v>
      </c>
      <c r="R66" s="105" t="str">
        <f t="shared" si="3"/>
        <v>Quarterly Commodity Prices_Nov-2017dummy</v>
      </c>
    </row>
    <row r="67" spans="1:18" x14ac:dyDescent="0.2">
      <c r="A67" s="97" t="str">
        <f>'Fuel adder inputs and calcs'!C62</f>
        <v>LSFO</v>
      </c>
      <c r="B67" s="97" t="str">
        <f>'Fuel adder inputs and calcs'!D62</f>
        <v>RoI</v>
      </c>
      <c r="C67" s="97" t="str">
        <f>'Fuel adder inputs and calcs'!E62&amp;'Fuel adder inputs and calcs'!F62</f>
        <v>2018Q1</v>
      </c>
      <c r="D67" s="97" t="str">
        <f>B67&amp;" "&amp;INDEX('Fixed inputs'!$D$34:$D$37,MATCH(A67,rngFuels,0))</f>
        <v>RoI Oil</v>
      </c>
      <c r="E67" s="68"/>
      <c r="G67" s="101" t="str">
        <f t="shared" si="2"/>
        <v>RoI Oil</v>
      </c>
      <c r="H67" s="101" t="s">
        <v>22</v>
      </c>
      <c r="I67" s="102">
        <f ca="1">INDEX(rngFuelPricesDeterministic,MATCH($C67,'Commodity inputs and calcs'!$L$14:$L$21,0),MATCH($A67,'Commodity inputs and calcs'!$M$13:$P$13,0))+'Fuel adder inputs and calcs'!Q62</f>
        <v>7.465582593831714</v>
      </c>
      <c r="J67" s="102"/>
      <c r="K67" s="101" t="s">
        <v>23</v>
      </c>
      <c r="L67" s="103">
        <v>1</v>
      </c>
      <c r="M67" s="104">
        <f>INDEX('Fixed inputs'!$G$6:$G$18,MATCH(C67,'Fixed inputs'!$D$6:$D$18,0))</f>
        <v>43101</v>
      </c>
      <c r="N67" s="104">
        <f t="shared" si="9"/>
        <v>43190</v>
      </c>
      <c r="O67" s="101" t="s">
        <v>24</v>
      </c>
      <c r="P67" s="101" t="str">
        <f t="shared" si="5"/>
        <v>=</v>
      </c>
      <c r="Q67" s="101" t="s">
        <v>24</v>
      </c>
      <c r="R67" s="105" t="str">
        <f t="shared" si="3"/>
        <v>Quarterly Commodity Prices_Nov-2017dummy</v>
      </c>
    </row>
    <row r="68" spans="1:18" x14ac:dyDescent="0.2">
      <c r="A68" s="97" t="str">
        <f>'Fuel adder inputs and calcs'!C63</f>
        <v>LSFO</v>
      </c>
      <c r="B68" s="97" t="str">
        <f>'Fuel adder inputs and calcs'!D63</f>
        <v>RoI</v>
      </c>
      <c r="C68" s="97" t="str">
        <f>'Fuel adder inputs and calcs'!E63&amp;'Fuel adder inputs and calcs'!F63</f>
        <v>2018Q2</v>
      </c>
      <c r="D68" s="97" t="str">
        <f>B68&amp;" "&amp;INDEX('Fixed inputs'!$D$34:$D$37,MATCH(A68,rngFuels,0))</f>
        <v>RoI Oil</v>
      </c>
      <c r="E68" s="68"/>
      <c r="G68" s="101" t="str">
        <f t="shared" si="2"/>
        <v>RoI Oil</v>
      </c>
      <c r="H68" s="101" t="s">
        <v>22</v>
      </c>
      <c r="I68" s="102">
        <f ca="1">INDEX(rngFuelPricesDeterministic,MATCH($C68,'Commodity inputs and calcs'!$L$14:$L$21,0),MATCH($A68,'Commodity inputs and calcs'!$M$13:$P$13,0))+'Fuel adder inputs and calcs'!Q63</f>
        <v>7.465582593831714</v>
      </c>
      <c r="J68" s="102"/>
      <c r="K68" s="101" t="s">
        <v>23</v>
      </c>
      <c r="L68" s="103">
        <v>1</v>
      </c>
      <c r="M68" s="104">
        <f>INDEX('Fixed inputs'!$G$6:$G$18,MATCH(C68,'Fixed inputs'!$D$6:$D$18,0))</f>
        <v>43191</v>
      </c>
      <c r="N68" s="104">
        <f t="shared" si="9"/>
        <v>43281</v>
      </c>
      <c r="O68" s="101" t="s">
        <v>24</v>
      </c>
      <c r="P68" s="101" t="str">
        <f t="shared" si="5"/>
        <v>=</v>
      </c>
      <c r="Q68" s="101" t="s">
        <v>24</v>
      </c>
      <c r="R68" s="105" t="str">
        <f t="shared" si="3"/>
        <v>Quarterly Commodity Prices_Nov-2017dummy</v>
      </c>
    </row>
    <row r="69" spans="1:18" x14ac:dyDescent="0.2">
      <c r="A69" s="97" t="str">
        <f>'Fuel adder inputs and calcs'!C64</f>
        <v>LSFO</v>
      </c>
      <c r="B69" s="97" t="str">
        <f>'Fuel adder inputs and calcs'!D64</f>
        <v>RoI</v>
      </c>
      <c r="C69" s="97" t="str">
        <f>'Fuel adder inputs and calcs'!E64&amp;'Fuel adder inputs and calcs'!F64</f>
        <v>2018Q3</v>
      </c>
      <c r="D69" s="97" t="str">
        <f>B69&amp;" "&amp;INDEX('Fixed inputs'!$D$34:$D$37,MATCH(A69,rngFuels,0))</f>
        <v>RoI Oil</v>
      </c>
      <c r="E69" s="68"/>
      <c r="G69" s="101" t="str">
        <f t="shared" si="2"/>
        <v>RoI Oil</v>
      </c>
      <c r="H69" s="101" t="s">
        <v>22</v>
      </c>
      <c r="I69" s="102">
        <f ca="1">INDEX(rngFuelPricesDeterministic,MATCH($C69,'Commodity inputs and calcs'!$L$14:$L$21,0),MATCH($A69,'Commodity inputs and calcs'!$M$13:$P$13,0))+'Fuel adder inputs and calcs'!Q64</f>
        <v>7.465582593831714</v>
      </c>
      <c r="J69" s="102"/>
      <c r="K69" s="101" t="s">
        <v>23</v>
      </c>
      <c r="L69" s="103">
        <v>1</v>
      </c>
      <c r="M69" s="104">
        <f>INDEX('Fixed inputs'!$G$6:$G$18,MATCH(C69,'Fixed inputs'!$D$6:$D$18,0))</f>
        <v>43282</v>
      </c>
      <c r="N69" s="104">
        <f t="shared" si="9"/>
        <v>43373</v>
      </c>
      <c r="O69" s="101" t="s">
        <v>24</v>
      </c>
      <c r="P69" s="101" t="str">
        <f t="shared" si="5"/>
        <v>=</v>
      </c>
      <c r="Q69" s="101" t="s">
        <v>24</v>
      </c>
      <c r="R69" s="105" t="str">
        <f t="shared" si="3"/>
        <v>Quarterly Commodity Prices_Nov-2017dummy</v>
      </c>
    </row>
    <row r="70" spans="1:18" x14ac:dyDescent="0.2">
      <c r="A70" s="97" t="str">
        <f>'Fuel adder inputs and calcs'!C65</f>
        <v>LSFO</v>
      </c>
      <c r="B70" s="97" t="str">
        <f>'Fuel adder inputs and calcs'!D65</f>
        <v>RoI</v>
      </c>
      <c r="C70" s="97" t="str">
        <f>'Fuel adder inputs and calcs'!E65&amp;'Fuel adder inputs and calcs'!F65</f>
        <v>2018Q4</v>
      </c>
      <c r="D70" s="97" t="str">
        <f>B70&amp;" "&amp;INDEX('Fixed inputs'!$D$34:$D$37,MATCH(A70,rngFuels,0))</f>
        <v>RoI Oil</v>
      </c>
      <c r="E70" s="68"/>
      <c r="G70" s="101" t="str">
        <f t="shared" si="2"/>
        <v>RoI Oil</v>
      </c>
      <c r="H70" s="101" t="s">
        <v>22</v>
      </c>
      <c r="I70" s="102">
        <f ca="1">INDEX(rngFuelPricesDeterministic,MATCH($C70,'Commodity inputs and calcs'!$L$14:$L$21,0),MATCH($A70,'Commodity inputs and calcs'!$M$13:$P$13,0))+'Fuel adder inputs and calcs'!Q65</f>
        <v>7.465582593831714</v>
      </c>
      <c r="J70" s="102"/>
      <c r="K70" s="101" t="s">
        <v>23</v>
      </c>
      <c r="L70" s="103">
        <v>1</v>
      </c>
      <c r="M70" s="104">
        <f>INDEX('Fixed inputs'!$G$6:$G$18,MATCH(C70,'Fixed inputs'!$D$6:$D$18,0))</f>
        <v>43374</v>
      </c>
      <c r="N70" s="104">
        <f t="shared" si="9"/>
        <v>43465</v>
      </c>
      <c r="O70" s="101" t="s">
        <v>24</v>
      </c>
      <c r="P70" s="101" t="str">
        <f t="shared" si="5"/>
        <v>=</v>
      </c>
      <c r="Q70" s="101" t="s">
        <v>24</v>
      </c>
      <c r="R70" s="105" t="str">
        <f t="shared" si="3"/>
        <v>Quarterly Commodity Prices_Nov-2017dummy</v>
      </c>
    </row>
    <row r="71" spans="1:18" x14ac:dyDescent="0.2">
      <c r="A71" s="97" t="str">
        <f>'Fuel adder inputs and calcs'!C66</f>
        <v>LSFO</v>
      </c>
      <c r="B71" s="97" t="str">
        <f>'Fuel adder inputs and calcs'!D66</f>
        <v>RoI</v>
      </c>
      <c r="C71" s="97" t="str">
        <f>'Fuel adder inputs and calcs'!E66&amp;'Fuel adder inputs and calcs'!F66</f>
        <v>2019Q1</v>
      </c>
      <c r="D71" s="97" t="str">
        <f>B71&amp;" "&amp;INDEX('Fixed inputs'!$D$34:$D$37,MATCH(A71,rngFuels,0))</f>
        <v>RoI Oil</v>
      </c>
      <c r="E71" s="68"/>
      <c r="G71" s="101" t="str">
        <f t="shared" si="2"/>
        <v>RoI Oil</v>
      </c>
      <c r="H71" s="101" t="s">
        <v>22</v>
      </c>
      <c r="I71" s="102">
        <f ca="1">INDEX(rngFuelPricesDeterministic,MATCH($C71,'Commodity inputs and calcs'!$L$14:$L$21,0),MATCH($A71,'Commodity inputs and calcs'!$M$13:$P$13,0))+'Fuel adder inputs and calcs'!Q66</f>
        <v>7.465582593831714</v>
      </c>
      <c r="J71" s="102"/>
      <c r="K71" s="101" t="s">
        <v>23</v>
      </c>
      <c r="L71" s="103">
        <v>1</v>
      </c>
      <c r="M71" s="104">
        <f>INDEX('Fixed inputs'!$G$6:$G$18,MATCH(C71,'Fixed inputs'!$D$6:$D$18,0))</f>
        <v>43466</v>
      </c>
      <c r="N71" s="104">
        <f t="shared" si="9"/>
        <v>43555</v>
      </c>
      <c r="O71" s="101" t="s">
        <v>24</v>
      </c>
      <c r="P71" s="101" t="str">
        <f t="shared" si="5"/>
        <v>=</v>
      </c>
      <c r="Q71" s="101" t="s">
        <v>24</v>
      </c>
      <c r="R71" s="105" t="str">
        <f t="shared" si="3"/>
        <v>Quarterly Commodity Prices_Nov-2017dummy</v>
      </c>
    </row>
    <row r="72" spans="1:18" x14ac:dyDescent="0.2">
      <c r="A72" s="97" t="str">
        <f>'Fuel adder inputs and calcs'!C67</f>
        <v>LSFO</v>
      </c>
      <c r="B72" s="97" t="str">
        <f>'Fuel adder inputs and calcs'!D67</f>
        <v>RoI</v>
      </c>
      <c r="C72" s="97" t="str">
        <f>'Fuel adder inputs and calcs'!E67&amp;'Fuel adder inputs and calcs'!F67</f>
        <v>2019Q2</v>
      </c>
      <c r="D72" s="97" t="str">
        <f>B72&amp;" "&amp;INDEX('Fixed inputs'!$D$34:$D$37,MATCH(A72,rngFuels,0))</f>
        <v>RoI Oil</v>
      </c>
      <c r="E72" s="68"/>
      <c r="G72" s="101" t="str">
        <f t="shared" si="2"/>
        <v>RoI Oil</v>
      </c>
      <c r="H72" s="101" t="s">
        <v>22</v>
      </c>
      <c r="I72" s="102">
        <f ca="1">INDEX(rngFuelPricesDeterministic,MATCH($C72,'Commodity inputs and calcs'!$L$14:$L$21,0),MATCH($A72,'Commodity inputs and calcs'!$M$13:$P$13,0))+'Fuel adder inputs and calcs'!Q67</f>
        <v>7.465582593831714</v>
      </c>
      <c r="J72" s="102"/>
      <c r="K72" s="101" t="s">
        <v>23</v>
      </c>
      <c r="L72" s="103">
        <v>1</v>
      </c>
      <c r="M72" s="104">
        <f>INDEX('Fixed inputs'!$G$6:$G$18,MATCH(C72,'Fixed inputs'!$D$6:$D$18,0))</f>
        <v>43556</v>
      </c>
      <c r="N72" s="104">
        <f t="shared" si="9"/>
        <v>43646</v>
      </c>
      <c r="O72" s="101" t="s">
        <v>24</v>
      </c>
      <c r="P72" s="101" t="str">
        <f t="shared" si="5"/>
        <v>=</v>
      </c>
      <c r="Q72" s="101" t="s">
        <v>24</v>
      </c>
      <c r="R72" s="105" t="str">
        <f t="shared" si="3"/>
        <v>Quarterly Commodity Prices_Nov-2017dummy</v>
      </c>
    </row>
    <row r="73" spans="1:18" x14ac:dyDescent="0.2">
      <c r="A73" s="97" t="str">
        <f>'Fuel adder inputs and calcs'!C68</f>
        <v>LSFO</v>
      </c>
      <c r="B73" s="97" t="str">
        <f>'Fuel adder inputs and calcs'!D68</f>
        <v>RoI</v>
      </c>
      <c r="C73" s="97" t="str">
        <f>'Fuel adder inputs and calcs'!E68&amp;'Fuel adder inputs and calcs'!F68</f>
        <v>2019Q3</v>
      </c>
      <c r="D73" s="97" t="str">
        <f>B73&amp;" "&amp;INDEX('Fixed inputs'!$D$34:$D$37,MATCH(A73,rngFuels,0))</f>
        <v>RoI Oil</v>
      </c>
      <c r="E73" s="68"/>
      <c r="G73" s="101" t="str">
        <f t="shared" si="2"/>
        <v>RoI Oil</v>
      </c>
      <c r="H73" s="101" t="s">
        <v>22</v>
      </c>
      <c r="I73" s="102">
        <f ca="1">INDEX(rngFuelPricesDeterministic,MATCH($C73,'Commodity inputs and calcs'!$L$14:$L$21,0),MATCH($A73,'Commodity inputs and calcs'!$M$13:$P$13,0))+'Fuel adder inputs and calcs'!Q68</f>
        <v>7.465582593831714</v>
      </c>
      <c r="J73" s="102"/>
      <c r="K73" s="101" t="s">
        <v>23</v>
      </c>
      <c r="L73" s="103">
        <v>1</v>
      </c>
      <c r="M73" s="104">
        <f>INDEX('Fixed inputs'!$G$6:$G$18,MATCH(C73,'Fixed inputs'!$D$6:$D$18,0))</f>
        <v>43647</v>
      </c>
      <c r="N73" s="104">
        <f t="shared" si="9"/>
        <v>43738</v>
      </c>
      <c r="O73" s="101" t="s">
        <v>24</v>
      </c>
      <c r="P73" s="101" t="str">
        <f t="shared" si="5"/>
        <v>=</v>
      </c>
      <c r="Q73" s="101" t="s">
        <v>24</v>
      </c>
      <c r="R73" s="105" t="str">
        <f t="shared" si="3"/>
        <v>Quarterly Commodity Prices_Nov-2017dummy</v>
      </c>
    </row>
    <row r="74" spans="1:18" x14ac:dyDescent="0.2">
      <c r="A74" s="97" t="str">
        <f>'Fuel adder inputs and calcs'!C69</f>
        <v>LSFO</v>
      </c>
      <c r="B74" s="97" t="str">
        <f>'Fuel adder inputs and calcs'!D69</f>
        <v>RoI</v>
      </c>
      <c r="C74" s="97" t="str">
        <f>'Fuel adder inputs and calcs'!E69&amp;'Fuel adder inputs and calcs'!F69</f>
        <v>2019Q4</v>
      </c>
      <c r="D74" s="97" t="str">
        <f>B74&amp;" "&amp;INDEX('Fixed inputs'!$D$34:$D$37,MATCH(A74,rngFuels,0))</f>
        <v>RoI Oil</v>
      </c>
      <c r="E74" s="68"/>
      <c r="G74" s="101" t="str">
        <f t="shared" si="2"/>
        <v>RoI Oil</v>
      </c>
      <c r="H74" s="101" t="s">
        <v>22</v>
      </c>
      <c r="I74" s="102">
        <f ca="1">INDEX(rngFuelPricesDeterministic,MATCH($C74,'Commodity inputs and calcs'!$L$14:$L$21,0),MATCH($A74,'Commodity inputs and calcs'!$M$13:$P$13,0))+'Fuel adder inputs and calcs'!Q69</f>
        <v>7.465582593831714</v>
      </c>
      <c r="J74" s="102"/>
      <c r="K74" s="101" t="s">
        <v>23</v>
      </c>
      <c r="L74" s="103">
        <v>1</v>
      </c>
      <c r="M74" s="104">
        <f>INDEX('Fixed inputs'!$G$6:$G$18,MATCH(C74,'Fixed inputs'!$D$6:$D$18,0))</f>
        <v>43739</v>
      </c>
      <c r="N74" s="104" t="str">
        <f t="shared" si="9"/>
        <v/>
      </c>
      <c r="O74" s="101" t="s">
        <v>24</v>
      </c>
      <c r="P74" s="101" t="str">
        <f t="shared" si="5"/>
        <v>=</v>
      </c>
      <c r="Q74" s="101" t="s">
        <v>24</v>
      </c>
      <c r="R74" s="105" t="str">
        <f t="shared" si="3"/>
        <v>Quarterly Commodity Prices_Nov-2017dummy</v>
      </c>
    </row>
    <row r="75" spans="1:18" x14ac:dyDescent="0.2">
      <c r="A75" s="97" t="str">
        <f>'Fuel adder inputs and calcs'!C70</f>
        <v>LSFO</v>
      </c>
      <c r="B75" s="97" t="str">
        <f>'Fuel adder inputs and calcs'!D70</f>
        <v>NI</v>
      </c>
      <c r="C75" s="97" t="str">
        <f>'Fuel adder inputs and calcs'!E70&amp;'Fuel adder inputs and calcs'!F70</f>
        <v>2018Q1</v>
      </c>
      <c r="D75" s="97" t="str">
        <f>B75&amp;" "&amp;INDEX('Fixed inputs'!$D$34:$D$37,MATCH(A75,rngFuels,0))</f>
        <v>NI Oil</v>
      </c>
      <c r="E75" s="68"/>
      <c r="G75" s="101" t="str">
        <f t="shared" si="2"/>
        <v>NI Oil</v>
      </c>
      <c r="H75" s="101" t="s">
        <v>22</v>
      </c>
      <c r="I75" s="102">
        <f ca="1">INDEX(rngFuelPricesDeterministic,MATCH($C75,'Commodity inputs and calcs'!$L$14:$L$21,0),MATCH($A75,'Commodity inputs and calcs'!$M$13:$P$13,0))+'Fuel adder inputs and calcs'!Q70</f>
        <v>6.7357397716838392</v>
      </c>
      <c r="J75" s="102"/>
      <c r="K75" s="101" t="s">
        <v>23</v>
      </c>
      <c r="L75" s="103">
        <v>1</v>
      </c>
      <c r="M75" s="104">
        <f>INDEX('Fixed inputs'!$G$6:$G$18,MATCH(C75,'Fixed inputs'!$D$6:$D$18,0))</f>
        <v>43101</v>
      </c>
      <c r="N75" s="104">
        <f t="shared" ref="N75:N99" si="10">IF(G75=G76,M76-1,"")</f>
        <v>43190</v>
      </c>
      <c r="O75" s="101" t="s">
        <v>24</v>
      </c>
      <c r="P75" s="101" t="str">
        <f t="shared" si="5"/>
        <v>=</v>
      </c>
      <c r="Q75" s="101" t="s">
        <v>24</v>
      </c>
      <c r="R75" s="105" t="str">
        <f t="shared" si="3"/>
        <v>Quarterly Commodity Prices_Nov-2017dummy</v>
      </c>
    </row>
    <row r="76" spans="1:18" x14ac:dyDescent="0.2">
      <c r="A76" s="97" t="str">
        <f>'Fuel adder inputs and calcs'!C71</f>
        <v>LSFO</v>
      </c>
      <c r="B76" s="97" t="str">
        <f>'Fuel adder inputs and calcs'!D71</f>
        <v>NI</v>
      </c>
      <c r="C76" s="97" t="str">
        <f>'Fuel adder inputs and calcs'!E71&amp;'Fuel adder inputs and calcs'!F71</f>
        <v>2018Q2</v>
      </c>
      <c r="D76" s="97" t="str">
        <f>B76&amp;" "&amp;INDEX('Fixed inputs'!$D$34:$D$37,MATCH(A76,rngFuels,0))</f>
        <v>NI Oil</v>
      </c>
      <c r="E76" s="68"/>
      <c r="G76" s="101" t="str">
        <f t="shared" ref="G76:G82" si="11">D76</f>
        <v>NI Oil</v>
      </c>
      <c r="H76" s="101" t="s">
        <v>22</v>
      </c>
      <c r="I76" s="102">
        <f ca="1">INDEX(rngFuelPricesDeterministic,MATCH($C76,'Commodity inputs and calcs'!$L$14:$L$21,0),MATCH($A76,'Commodity inputs and calcs'!$M$13:$P$13,0))+'Fuel adder inputs and calcs'!Q71</f>
        <v>6.7357397716838392</v>
      </c>
      <c r="J76" s="102"/>
      <c r="K76" s="101" t="s">
        <v>23</v>
      </c>
      <c r="L76" s="103">
        <v>1</v>
      </c>
      <c r="M76" s="104">
        <f>INDEX('Fixed inputs'!$G$6:$G$18,MATCH(C76,'Fixed inputs'!$D$6:$D$18,0))</f>
        <v>43191</v>
      </c>
      <c r="N76" s="104">
        <f t="shared" si="10"/>
        <v>43281</v>
      </c>
      <c r="O76" s="101" t="s">
        <v>24</v>
      </c>
      <c r="P76" s="101" t="str">
        <f t="shared" si="5"/>
        <v>=</v>
      </c>
      <c r="Q76" s="101" t="s">
        <v>24</v>
      </c>
      <c r="R76" s="105" t="str">
        <f t="shared" ref="R76:R99" si="12">$H$6</f>
        <v>Quarterly Commodity Prices_Nov-2017dummy</v>
      </c>
    </row>
    <row r="77" spans="1:18" x14ac:dyDescent="0.2">
      <c r="A77" s="97" t="str">
        <f>'Fuel adder inputs and calcs'!C72</f>
        <v>LSFO</v>
      </c>
      <c r="B77" s="97" t="str">
        <f>'Fuel adder inputs and calcs'!D72</f>
        <v>NI</v>
      </c>
      <c r="C77" s="97" t="str">
        <f>'Fuel adder inputs and calcs'!E72&amp;'Fuel adder inputs and calcs'!F72</f>
        <v>2018Q3</v>
      </c>
      <c r="D77" s="97" t="str">
        <f>B77&amp;" "&amp;INDEX('Fixed inputs'!$D$34:$D$37,MATCH(A77,rngFuels,0))</f>
        <v>NI Oil</v>
      </c>
      <c r="E77" s="68"/>
      <c r="G77" s="101" t="str">
        <f t="shared" si="11"/>
        <v>NI Oil</v>
      </c>
      <c r="H77" s="101" t="s">
        <v>22</v>
      </c>
      <c r="I77" s="102">
        <f ca="1">INDEX(rngFuelPricesDeterministic,MATCH($C77,'Commodity inputs and calcs'!$L$14:$L$21,0),MATCH($A77,'Commodity inputs and calcs'!$M$13:$P$13,0))+'Fuel adder inputs and calcs'!Q72</f>
        <v>6.7357397716838392</v>
      </c>
      <c r="J77" s="102"/>
      <c r="K77" s="101" t="s">
        <v>23</v>
      </c>
      <c r="L77" s="103">
        <v>1</v>
      </c>
      <c r="M77" s="104">
        <f>INDEX('Fixed inputs'!$G$6:$G$18,MATCH(C77,'Fixed inputs'!$D$6:$D$18,0))</f>
        <v>43282</v>
      </c>
      <c r="N77" s="104">
        <f t="shared" si="10"/>
        <v>43373</v>
      </c>
      <c r="O77" s="101" t="s">
        <v>24</v>
      </c>
      <c r="P77" s="101" t="str">
        <f t="shared" ref="P77:P99" si="13">P76</f>
        <v>=</v>
      </c>
      <c r="Q77" s="101" t="s">
        <v>24</v>
      </c>
      <c r="R77" s="105" t="str">
        <f t="shared" si="12"/>
        <v>Quarterly Commodity Prices_Nov-2017dummy</v>
      </c>
    </row>
    <row r="78" spans="1:18" x14ac:dyDescent="0.2">
      <c r="A78" s="97" t="str">
        <f>'Fuel adder inputs and calcs'!C73</f>
        <v>LSFO</v>
      </c>
      <c r="B78" s="97" t="str">
        <f>'Fuel adder inputs and calcs'!D73</f>
        <v>NI</v>
      </c>
      <c r="C78" s="97" t="str">
        <f>'Fuel adder inputs and calcs'!E73&amp;'Fuel adder inputs and calcs'!F73</f>
        <v>2018Q4</v>
      </c>
      <c r="D78" s="97" t="str">
        <f>B78&amp;" "&amp;INDEX('Fixed inputs'!$D$34:$D$37,MATCH(A78,rngFuels,0))</f>
        <v>NI Oil</v>
      </c>
      <c r="E78" s="68"/>
      <c r="G78" s="101" t="str">
        <f t="shared" si="11"/>
        <v>NI Oil</v>
      </c>
      <c r="H78" s="101" t="s">
        <v>22</v>
      </c>
      <c r="I78" s="102">
        <f ca="1">INDEX(rngFuelPricesDeterministic,MATCH($C78,'Commodity inputs and calcs'!$L$14:$L$21,0),MATCH($A78,'Commodity inputs and calcs'!$M$13:$P$13,0))+'Fuel adder inputs and calcs'!Q73</f>
        <v>6.7357397716838392</v>
      </c>
      <c r="J78" s="102"/>
      <c r="K78" s="101" t="s">
        <v>23</v>
      </c>
      <c r="L78" s="103">
        <v>1</v>
      </c>
      <c r="M78" s="104">
        <f>INDEX('Fixed inputs'!$G$6:$G$18,MATCH(C78,'Fixed inputs'!$D$6:$D$18,0))</f>
        <v>43374</v>
      </c>
      <c r="N78" s="104">
        <f t="shared" si="10"/>
        <v>43465</v>
      </c>
      <c r="O78" s="101" t="s">
        <v>24</v>
      </c>
      <c r="P78" s="101" t="str">
        <f t="shared" si="13"/>
        <v>=</v>
      </c>
      <c r="Q78" s="101" t="s">
        <v>24</v>
      </c>
      <c r="R78" s="105" t="str">
        <f t="shared" si="12"/>
        <v>Quarterly Commodity Prices_Nov-2017dummy</v>
      </c>
    </row>
    <row r="79" spans="1:18" x14ac:dyDescent="0.2">
      <c r="A79" s="97" t="str">
        <f>'Fuel adder inputs and calcs'!C74</f>
        <v>LSFO</v>
      </c>
      <c r="B79" s="97" t="str">
        <f>'Fuel adder inputs and calcs'!D74</f>
        <v>NI</v>
      </c>
      <c r="C79" s="97" t="str">
        <f>'Fuel adder inputs and calcs'!E74&amp;'Fuel adder inputs and calcs'!F74</f>
        <v>2019Q1</v>
      </c>
      <c r="D79" s="97" t="str">
        <f>B79&amp;" "&amp;INDEX('Fixed inputs'!$D$34:$D$37,MATCH(A79,rngFuels,0))</f>
        <v>NI Oil</v>
      </c>
      <c r="E79" s="68"/>
      <c r="G79" s="101" t="str">
        <f t="shared" si="11"/>
        <v>NI Oil</v>
      </c>
      <c r="H79" s="101" t="s">
        <v>22</v>
      </c>
      <c r="I79" s="102">
        <f ca="1">INDEX(rngFuelPricesDeterministic,MATCH($C79,'Commodity inputs and calcs'!$L$14:$L$21,0),MATCH($A79,'Commodity inputs and calcs'!$M$13:$P$13,0))+'Fuel adder inputs and calcs'!Q74</f>
        <v>6.7357397716838392</v>
      </c>
      <c r="J79" s="102"/>
      <c r="K79" s="101" t="s">
        <v>23</v>
      </c>
      <c r="L79" s="103">
        <v>1</v>
      </c>
      <c r="M79" s="104">
        <f>INDEX('Fixed inputs'!$G$6:$G$18,MATCH(C79,'Fixed inputs'!$D$6:$D$18,0))</f>
        <v>43466</v>
      </c>
      <c r="N79" s="104">
        <f t="shared" si="10"/>
        <v>43555</v>
      </c>
      <c r="O79" s="101" t="s">
        <v>24</v>
      </c>
      <c r="P79" s="101" t="str">
        <f t="shared" si="13"/>
        <v>=</v>
      </c>
      <c r="Q79" s="101" t="s">
        <v>24</v>
      </c>
      <c r="R79" s="105" t="str">
        <f t="shared" si="12"/>
        <v>Quarterly Commodity Prices_Nov-2017dummy</v>
      </c>
    </row>
    <row r="80" spans="1:18" x14ac:dyDescent="0.2">
      <c r="A80" s="97" t="str">
        <f>'Fuel adder inputs and calcs'!C75</f>
        <v>LSFO</v>
      </c>
      <c r="B80" s="97" t="str">
        <f>'Fuel adder inputs and calcs'!D75</f>
        <v>NI</v>
      </c>
      <c r="C80" s="97" t="str">
        <f>'Fuel adder inputs and calcs'!E75&amp;'Fuel adder inputs and calcs'!F75</f>
        <v>2019Q2</v>
      </c>
      <c r="D80" s="97" t="str">
        <f>B80&amp;" "&amp;INDEX('Fixed inputs'!$D$34:$D$37,MATCH(A80,rngFuels,0))</f>
        <v>NI Oil</v>
      </c>
      <c r="E80" s="68"/>
      <c r="G80" s="101" t="str">
        <f t="shared" si="11"/>
        <v>NI Oil</v>
      </c>
      <c r="H80" s="101" t="s">
        <v>22</v>
      </c>
      <c r="I80" s="102">
        <f ca="1">INDEX(rngFuelPricesDeterministic,MATCH($C80,'Commodity inputs and calcs'!$L$14:$L$21,0),MATCH($A80,'Commodity inputs and calcs'!$M$13:$P$13,0))+'Fuel adder inputs and calcs'!Q75</f>
        <v>6.7357397716838392</v>
      </c>
      <c r="J80" s="102"/>
      <c r="K80" s="101" t="s">
        <v>23</v>
      </c>
      <c r="L80" s="103">
        <v>1</v>
      </c>
      <c r="M80" s="104">
        <f>INDEX('Fixed inputs'!$G$6:$G$18,MATCH(C80,'Fixed inputs'!$D$6:$D$18,0))</f>
        <v>43556</v>
      </c>
      <c r="N80" s="104">
        <f t="shared" si="10"/>
        <v>43646</v>
      </c>
      <c r="O80" s="101" t="s">
        <v>24</v>
      </c>
      <c r="P80" s="101" t="str">
        <f t="shared" si="13"/>
        <v>=</v>
      </c>
      <c r="Q80" s="101" t="s">
        <v>24</v>
      </c>
      <c r="R80" s="105" t="str">
        <f t="shared" si="12"/>
        <v>Quarterly Commodity Prices_Nov-2017dummy</v>
      </c>
    </row>
    <row r="81" spans="1:18" x14ac:dyDescent="0.2">
      <c r="A81" s="97" t="str">
        <f>'Fuel adder inputs and calcs'!C76</f>
        <v>LSFO</v>
      </c>
      <c r="B81" s="97" t="str">
        <f>'Fuel adder inputs and calcs'!D76</f>
        <v>NI</v>
      </c>
      <c r="C81" s="97" t="str">
        <f>'Fuel adder inputs and calcs'!E76&amp;'Fuel adder inputs and calcs'!F76</f>
        <v>2019Q3</v>
      </c>
      <c r="D81" s="97" t="str">
        <f>B81&amp;" "&amp;INDEX('Fixed inputs'!$D$34:$D$37,MATCH(A81,rngFuels,0))</f>
        <v>NI Oil</v>
      </c>
      <c r="E81" s="68"/>
      <c r="G81" s="101" t="str">
        <f t="shared" si="11"/>
        <v>NI Oil</v>
      </c>
      <c r="H81" s="101" t="s">
        <v>22</v>
      </c>
      <c r="I81" s="102">
        <f ca="1">INDEX(rngFuelPricesDeterministic,MATCH($C81,'Commodity inputs and calcs'!$L$14:$L$21,0),MATCH($A81,'Commodity inputs and calcs'!$M$13:$P$13,0))+'Fuel adder inputs and calcs'!Q76</f>
        <v>6.7357397716838392</v>
      </c>
      <c r="J81" s="102"/>
      <c r="K81" s="101" t="s">
        <v>23</v>
      </c>
      <c r="L81" s="103">
        <v>1</v>
      </c>
      <c r="M81" s="104">
        <f>INDEX('Fixed inputs'!$G$6:$G$18,MATCH(C81,'Fixed inputs'!$D$6:$D$18,0))</f>
        <v>43647</v>
      </c>
      <c r="N81" s="104">
        <f t="shared" si="10"/>
        <v>43738</v>
      </c>
      <c r="O81" s="101" t="s">
        <v>24</v>
      </c>
      <c r="P81" s="101" t="str">
        <f t="shared" si="13"/>
        <v>=</v>
      </c>
      <c r="Q81" s="101" t="s">
        <v>24</v>
      </c>
      <c r="R81" s="105" t="str">
        <f t="shared" si="12"/>
        <v>Quarterly Commodity Prices_Nov-2017dummy</v>
      </c>
    </row>
    <row r="82" spans="1:18" x14ac:dyDescent="0.2">
      <c r="A82" s="97" t="str">
        <f>'Fuel adder inputs and calcs'!C77</f>
        <v>LSFO</v>
      </c>
      <c r="B82" s="97" t="str">
        <f>'Fuel adder inputs and calcs'!D77</f>
        <v>NI</v>
      </c>
      <c r="C82" s="97" t="str">
        <f>'Fuel adder inputs and calcs'!E77&amp;'Fuel adder inputs and calcs'!F77</f>
        <v>2019Q4</v>
      </c>
      <c r="D82" s="97" t="str">
        <f>B82&amp;" "&amp;INDEX('Fixed inputs'!$D$34:$D$37,MATCH(A82,rngFuels,0))</f>
        <v>NI Oil</v>
      </c>
      <c r="E82" s="68"/>
      <c r="G82" s="101" t="str">
        <f t="shared" si="11"/>
        <v>NI Oil</v>
      </c>
      <c r="H82" s="101" t="s">
        <v>22</v>
      </c>
      <c r="I82" s="102">
        <f ca="1">INDEX(rngFuelPricesDeterministic,MATCH($C82,'Commodity inputs and calcs'!$L$14:$L$21,0),MATCH($A82,'Commodity inputs and calcs'!$M$13:$P$13,0))+'Fuel adder inputs and calcs'!Q77</f>
        <v>6.7357397716838392</v>
      </c>
      <c r="J82" s="102"/>
      <c r="K82" s="101" t="s">
        <v>23</v>
      </c>
      <c r="L82" s="103">
        <v>1</v>
      </c>
      <c r="M82" s="104">
        <f>INDEX('Fixed inputs'!$G$6:$G$18,MATCH(C82,'Fixed inputs'!$D$6:$D$18,0))</f>
        <v>43739</v>
      </c>
      <c r="N82" s="104" t="str">
        <f t="shared" si="10"/>
        <v/>
      </c>
      <c r="O82" s="101" t="s">
        <v>24</v>
      </c>
      <c r="P82" s="101" t="str">
        <f t="shared" si="13"/>
        <v>=</v>
      </c>
      <c r="Q82" s="101" t="s">
        <v>24</v>
      </c>
      <c r="R82" s="105" t="str">
        <f t="shared" si="12"/>
        <v>Quarterly Commodity Prices_Nov-2017dummy</v>
      </c>
    </row>
    <row r="83" spans="1:18" x14ac:dyDescent="0.2">
      <c r="E83" s="68"/>
      <c r="G83" s="106" t="s">
        <v>124</v>
      </c>
      <c r="H83" s="106" t="s">
        <v>22</v>
      </c>
      <c r="I83" s="107">
        <f ca="1">'Commodity prices for PLEXOS'!I27+'Fuel adder inputs and calcs'!Q78</f>
        <v>11.111378717019029</v>
      </c>
      <c r="J83" s="107"/>
      <c r="K83" s="106" t="s">
        <v>23</v>
      </c>
      <c r="L83" s="108">
        <v>1</v>
      </c>
      <c r="M83" s="109">
        <f>M67</f>
        <v>43101</v>
      </c>
      <c r="N83" s="104">
        <f t="shared" si="10"/>
        <v>43190</v>
      </c>
      <c r="O83" s="106"/>
      <c r="P83" s="106" t="str">
        <f t="shared" si="13"/>
        <v>=</v>
      </c>
      <c r="Q83" s="106"/>
      <c r="R83" s="110" t="str">
        <f t="shared" si="12"/>
        <v>Quarterly Commodity Prices_Nov-2017dummy</v>
      </c>
    </row>
    <row r="84" spans="1:18" x14ac:dyDescent="0.2">
      <c r="E84" s="68"/>
      <c r="G84" s="106" t="s">
        <v>124</v>
      </c>
      <c r="H84" s="106" t="s">
        <v>22</v>
      </c>
      <c r="I84" s="107">
        <f ca="1">'Commodity prices for PLEXOS'!I28+'Fuel adder inputs and calcs'!Q79</f>
        <v>6.0458419938648333</v>
      </c>
      <c r="J84" s="107"/>
      <c r="K84" s="106" t="s">
        <v>23</v>
      </c>
      <c r="L84" s="108">
        <v>1</v>
      </c>
      <c r="M84" s="109">
        <f t="shared" ref="M84:M91" si="14">M68</f>
        <v>43191</v>
      </c>
      <c r="N84" s="104">
        <f t="shared" si="10"/>
        <v>43281</v>
      </c>
      <c r="O84" s="106"/>
      <c r="P84" s="106" t="str">
        <f t="shared" si="13"/>
        <v>=</v>
      </c>
      <c r="Q84" s="106"/>
      <c r="R84" s="110" t="str">
        <f t="shared" si="12"/>
        <v>Quarterly Commodity Prices_Nov-2017dummy</v>
      </c>
    </row>
    <row r="85" spans="1:18" x14ac:dyDescent="0.2">
      <c r="E85" s="68"/>
      <c r="G85" s="106" t="s">
        <v>124</v>
      </c>
      <c r="H85" s="106" t="s">
        <v>22</v>
      </c>
      <c r="I85" s="107">
        <f ca="1">'Commodity prices for PLEXOS'!I29+'Fuel adder inputs and calcs'!Q80</f>
        <v>5.567191558777222</v>
      </c>
      <c r="J85" s="107"/>
      <c r="K85" s="106" t="s">
        <v>23</v>
      </c>
      <c r="L85" s="108">
        <v>1</v>
      </c>
      <c r="M85" s="109">
        <f t="shared" si="14"/>
        <v>43282</v>
      </c>
      <c r="N85" s="104">
        <f t="shared" si="10"/>
        <v>43373</v>
      </c>
      <c r="O85" s="106"/>
      <c r="P85" s="106" t="str">
        <f t="shared" si="13"/>
        <v>=</v>
      </c>
      <c r="Q85" s="106"/>
      <c r="R85" s="110" t="str">
        <f t="shared" si="12"/>
        <v>Quarterly Commodity Prices_Nov-2017dummy</v>
      </c>
    </row>
    <row r="86" spans="1:18" x14ac:dyDescent="0.2">
      <c r="E86" s="68"/>
      <c r="G86" s="106" t="s">
        <v>124</v>
      </c>
      <c r="H86" s="106" t="s">
        <v>22</v>
      </c>
      <c r="I86" s="107">
        <f ca="1">'Commodity prices for PLEXOS'!I30+'Fuel adder inputs and calcs'!Q81</f>
        <v>8.2348755416386954</v>
      </c>
      <c r="J86" s="107"/>
      <c r="K86" s="106" t="s">
        <v>23</v>
      </c>
      <c r="L86" s="108">
        <v>1</v>
      </c>
      <c r="M86" s="109">
        <f t="shared" si="14"/>
        <v>43374</v>
      </c>
      <c r="N86" s="104">
        <f t="shared" si="10"/>
        <v>43465</v>
      </c>
      <c r="O86" s="106"/>
      <c r="P86" s="106" t="str">
        <f t="shared" si="13"/>
        <v>=</v>
      </c>
      <c r="Q86" s="106"/>
      <c r="R86" s="110" t="str">
        <f t="shared" si="12"/>
        <v>Quarterly Commodity Prices_Nov-2017dummy</v>
      </c>
    </row>
    <row r="87" spans="1:18" x14ac:dyDescent="0.2">
      <c r="E87" s="68"/>
      <c r="G87" s="106" t="s">
        <v>124</v>
      </c>
      <c r="H87" s="106" t="s">
        <v>22</v>
      </c>
      <c r="I87" s="107">
        <f ca="1">'Commodity prices for PLEXOS'!I31+'Fuel adder inputs and calcs'!Q82</f>
        <v>11.111378717019029</v>
      </c>
      <c r="J87" s="107"/>
      <c r="K87" s="106" t="s">
        <v>23</v>
      </c>
      <c r="L87" s="108">
        <v>1</v>
      </c>
      <c r="M87" s="109">
        <f t="shared" si="14"/>
        <v>43466</v>
      </c>
      <c r="N87" s="104">
        <f t="shared" si="10"/>
        <v>43555</v>
      </c>
      <c r="O87" s="106"/>
      <c r="P87" s="106" t="str">
        <f t="shared" si="13"/>
        <v>=</v>
      </c>
      <c r="Q87" s="106"/>
      <c r="R87" s="110" t="str">
        <f t="shared" si="12"/>
        <v>Quarterly Commodity Prices_Nov-2017dummy</v>
      </c>
    </row>
    <row r="88" spans="1:18" x14ac:dyDescent="0.2">
      <c r="E88" s="68"/>
      <c r="G88" s="106" t="s">
        <v>124</v>
      </c>
      <c r="H88" s="106" t="s">
        <v>22</v>
      </c>
      <c r="I88" s="107">
        <f ca="1">'Commodity prices for PLEXOS'!I32+'Fuel adder inputs and calcs'!Q83</f>
        <v>6.0458419938648333</v>
      </c>
      <c r="J88" s="107"/>
      <c r="K88" s="106" t="s">
        <v>23</v>
      </c>
      <c r="L88" s="108">
        <v>1</v>
      </c>
      <c r="M88" s="109">
        <f t="shared" si="14"/>
        <v>43556</v>
      </c>
      <c r="N88" s="104">
        <f t="shared" si="10"/>
        <v>43646</v>
      </c>
      <c r="O88" s="106"/>
      <c r="P88" s="106" t="str">
        <f t="shared" si="13"/>
        <v>=</v>
      </c>
      <c r="Q88" s="106"/>
      <c r="R88" s="110" t="str">
        <f t="shared" si="12"/>
        <v>Quarterly Commodity Prices_Nov-2017dummy</v>
      </c>
    </row>
    <row r="89" spans="1:18" x14ac:dyDescent="0.2">
      <c r="E89" s="68"/>
      <c r="G89" s="106" t="s">
        <v>124</v>
      </c>
      <c r="H89" s="106" t="s">
        <v>22</v>
      </c>
      <c r="I89" s="107">
        <f ca="1">'Commodity prices for PLEXOS'!I33+'Fuel adder inputs and calcs'!Q84</f>
        <v>5.567191558777222</v>
      </c>
      <c r="J89" s="107"/>
      <c r="K89" s="106" t="s">
        <v>23</v>
      </c>
      <c r="L89" s="108">
        <v>1</v>
      </c>
      <c r="M89" s="109">
        <f t="shared" si="14"/>
        <v>43647</v>
      </c>
      <c r="N89" s="104">
        <f t="shared" si="10"/>
        <v>43738</v>
      </c>
      <c r="O89" s="106"/>
      <c r="P89" s="106" t="str">
        <f t="shared" si="13"/>
        <v>=</v>
      </c>
      <c r="Q89" s="106"/>
      <c r="R89" s="110" t="str">
        <f t="shared" si="12"/>
        <v>Quarterly Commodity Prices_Nov-2017dummy</v>
      </c>
    </row>
    <row r="90" spans="1:18" x14ac:dyDescent="0.2">
      <c r="E90" s="68"/>
      <c r="G90" s="106" t="s">
        <v>124</v>
      </c>
      <c r="H90" s="106" t="s">
        <v>22</v>
      </c>
      <c r="I90" s="107">
        <f ca="1">'Commodity prices for PLEXOS'!I34+'Fuel adder inputs and calcs'!Q85</f>
        <v>8.2348755416386954</v>
      </c>
      <c r="J90" s="107"/>
      <c r="K90" s="106" t="s">
        <v>23</v>
      </c>
      <c r="L90" s="108">
        <v>1</v>
      </c>
      <c r="M90" s="109">
        <f t="shared" si="14"/>
        <v>43739</v>
      </c>
      <c r="N90" s="104" t="str">
        <f t="shared" si="10"/>
        <v/>
      </c>
      <c r="O90" s="106"/>
      <c r="P90" s="106" t="str">
        <f t="shared" si="13"/>
        <v>=</v>
      </c>
      <c r="Q90" s="106"/>
      <c r="R90" s="110" t="str">
        <f t="shared" si="12"/>
        <v>Quarterly Commodity Prices_Nov-2017dummy</v>
      </c>
    </row>
    <row r="91" spans="1:18" x14ac:dyDescent="0.2">
      <c r="E91" s="68"/>
      <c r="G91" s="106" t="s">
        <v>25</v>
      </c>
      <c r="H91" s="106" t="s">
        <v>22</v>
      </c>
      <c r="I91" s="107">
        <v>0</v>
      </c>
      <c r="J91" s="107"/>
      <c r="K91" s="106" t="s">
        <v>23</v>
      </c>
      <c r="L91" s="108">
        <v>1</v>
      </c>
      <c r="M91" s="109">
        <f t="shared" si="14"/>
        <v>43101</v>
      </c>
      <c r="N91" s="104" t="str">
        <f t="shared" si="10"/>
        <v/>
      </c>
      <c r="O91" s="106"/>
      <c r="P91" s="106" t="str">
        <f t="shared" si="13"/>
        <v>=</v>
      </c>
      <c r="Q91" s="106"/>
      <c r="R91" s="110" t="str">
        <f t="shared" si="12"/>
        <v>Quarterly Commodity Prices_Nov-2017dummy</v>
      </c>
    </row>
    <row r="92" spans="1:18" x14ac:dyDescent="0.2">
      <c r="E92" s="68"/>
      <c r="G92" s="106" t="s">
        <v>26</v>
      </c>
      <c r="H92" s="106" t="s">
        <v>22</v>
      </c>
      <c r="I92" s="107">
        <f ca="1">I27*(1-Synergen_Gas_Discount)</f>
        <v>3.7673113722044906</v>
      </c>
      <c r="J92" s="107"/>
      <c r="K92" s="106" t="s">
        <v>23</v>
      </c>
      <c r="L92" s="108">
        <v>1</v>
      </c>
      <c r="M92" s="109">
        <f>M75</f>
        <v>43101</v>
      </c>
      <c r="N92" s="104">
        <f t="shared" si="10"/>
        <v>43190</v>
      </c>
      <c r="O92" s="106"/>
      <c r="P92" s="106" t="str">
        <f t="shared" si="13"/>
        <v>=</v>
      </c>
      <c r="Q92" s="106"/>
      <c r="R92" s="110" t="str">
        <f t="shared" si="12"/>
        <v>Quarterly Commodity Prices_Nov-2017dummy</v>
      </c>
    </row>
    <row r="93" spans="1:18" x14ac:dyDescent="0.2">
      <c r="E93" s="68"/>
      <c r="G93" s="106" t="s">
        <v>26</v>
      </c>
      <c r="H93" s="106" t="s">
        <v>22</v>
      </c>
      <c r="I93" s="107">
        <f t="shared" ref="I93:I99" ca="1" si="15">I28*(1-Synergen_Gas_Discount)</f>
        <v>3.2698981262663329</v>
      </c>
      <c r="J93" s="107"/>
      <c r="K93" s="106" t="s">
        <v>23</v>
      </c>
      <c r="L93" s="108">
        <v>1</v>
      </c>
      <c r="M93" s="109">
        <f t="shared" ref="M93:M99" si="16">M76</f>
        <v>43191</v>
      </c>
      <c r="N93" s="104">
        <f t="shared" si="10"/>
        <v>43281</v>
      </c>
      <c r="O93" s="106"/>
      <c r="P93" s="106" t="str">
        <f t="shared" si="13"/>
        <v>=</v>
      </c>
      <c r="Q93" s="106"/>
      <c r="R93" s="110" t="str">
        <f t="shared" si="12"/>
        <v>Quarterly Commodity Prices_Nov-2017dummy</v>
      </c>
    </row>
    <row r="94" spans="1:18" x14ac:dyDescent="0.2">
      <c r="E94" s="68"/>
      <c r="G94" s="106" t="s">
        <v>26</v>
      </c>
      <c r="H94" s="106" t="s">
        <v>22</v>
      </c>
      <c r="I94" s="107">
        <f t="shared" ca="1" si="15"/>
        <v>3.2698981262663329</v>
      </c>
      <c r="J94" s="107"/>
      <c r="K94" s="106" t="s">
        <v>23</v>
      </c>
      <c r="L94" s="108">
        <v>1</v>
      </c>
      <c r="M94" s="109">
        <f t="shared" si="16"/>
        <v>43282</v>
      </c>
      <c r="N94" s="104">
        <f t="shared" si="10"/>
        <v>43373</v>
      </c>
      <c r="O94" s="106"/>
      <c r="P94" s="106" t="str">
        <f t="shared" si="13"/>
        <v>=</v>
      </c>
      <c r="Q94" s="106"/>
      <c r="R94" s="110" t="str">
        <f t="shared" si="12"/>
        <v>Quarterly Commodity Prices_Nov-2017dummy</v>
      </c>
    </row>
    <row r="95" spans="1:18" x14ac:dyDescent="0.2">
      <c r="E95" s="68"/>
      <c r="G95" s="106" t="s">
        <v>26</v>
      </c>
      <c r="H95" s="106" t="s">
        <v>22</v>
      </c>
      <c r="I95" s="107">
        <f t="shared" ca="1" si="15"/>
        <v>3.7673113722044906</v>
      </c>
      <c r="J95" s="107"/>
      <c r="K95" s="106" t="s">
        <v>23</v>
      </c>
      <c r="L95" s="108">
        <v>1</v>
      </c>
      <c r="M95" s="109">
        <f t="shared" si="16"/>
        <v>43374</v>
      </c>
      <c r="N95" s="104">
        <f t="shared" si="10"/>
        <v>43465</v>
      </c>
      <c r="O95" s="106"/>
      <c r="P95" s="106" t="str">
        <f t="shared" si="13"/>
        <v>=</v>
      </c>
      <c r="Q95" s="106"/>
      <c r="R95" s="110" t="str">
        <f t="shared" si="12"/>
        <v>Quarterly Commodity Prices_Nov-2017dummy</v>
      </c>
    </row>
    <row r="96" spans="1:18" x14ac:dyDescent="0.2">
      <c r="E96" s="68"/>
      <c r="G96" s="106" t="s">
        <v>26</v>
      </c>
      <c r="H96" s="106" t="s">
        <v>22</v>
      </c>
      <c r="I96" s="107">
        <f t="shared" ca="1" si="15"/>
        <v>3.7673113722044906</v>
      </c>
      <c r="J96" s="107"/>
      <c r="K96" s="106" t="s">
        <v>23</v>
      </c>
      <c r="L96" s="108">
        <v>1</v>
      </c>
      <c r="M96" s="109">
        <f t="shared" si="16"/>
        <v>43466</v>
      </c>
      <c r="N96" s="104">
        <f t="shared" si="10"/>
        <v>43555</v>
      </c>
      <c r="O96" s="106"/>
      <c r="P96" s="106" t="str">
        <f t="shared" si="13"/>
        <v>=</v>
      </c>
      <c r="Q96" s="106"/>
      <c r="R96" s="110" t="str">
        <f t="shared" si="12"/>
        <v>Quarterly Commodity Prices_Nov-2017dummy</v>
      </c>
    </row>
    <row r="97" spans="5:18" x14ac:dyDescent="0.2">
      <c r="E97" s="68"/>
      <c r="G97" s="106" t="s">
        <v>26</v>
      </c>
      <c r="H97" s="106" t="s">
        <v>22</v>
      </c>
      <c r="I97" s="107">
        <f t="shared" ca="1" si="15"/>
        <v>3.2698981262663329</v>
      </c>
      <c r="J97" s="107"/>
      <c r="K97" s="106" t="s">
        <v>23</v>
      </c>
      <c r="L97" s="108">
        <v>1</v>
      </c>
      <c r="M97" s="109">
        <f t="shared" si="16"/>
        <v>43556</v>
      </c>
      <c r="N97" s="104">
        <f t="shared" si="10"/>
        <v>43646</v>
      </c>
      <c r="O97" s="106"/>
      <c r="P97" s="106" t="str">
        <f t="shared" si="13"/>
        <v>=</v>
      </c>
      <c r="Q97" s="106"/>
      <c r="R97" s="110" t="str">
        <f t="shared" si="12"/>
        <v>Quarterly Commodity Prices_Nov-2017dummy</v>
      </c>
    </row>
    <row r="98" spans="5:18" x14ac:dyDescent="0.2">
      <c r="E98" s="68"/>
      <c r="G98" s="106" t="s">
        <v>26</v>
      </c>
      <c r="H98" s="106" t="s">
        <v>22</v>
      </c>
      <c r="I98" s="107">
        <f t="shared" ca="1" si="15"/>
        <v>3.2698981262663329</v>
      </c>
      <c r="J98" s="107"/>
      <c r="K98" s="106" t="s">
        <v>23</v>
      </c>
      <c r="L98" s="108">
        <v>1</v>
      </c>
      <c r="M98" s="109">
        <f t="shared" si="16"/>
        <v>43647</v>
      </c>
      <c r="N98" s="104">
        <f t="shared" si="10"/>
        <v>43738</v>
      </c>
      <c r="O98" s="106"/>
      <c r="P98" s="106" t="str">
        <f t="shared" si="13"/>
        <v>=</v>
      </c>
      <c r="Q98" s="106"/>
      <c r="R98" s="110" t="str">
        <f t="shared" si="12"/>
        <v>Quarterly Commodity Prices_Nov-2017dummy</v>
      </c>
    </row>
    <row r="99" spans="5:18" x14ac:dyDescent="0.2">
      <c r="E99" s="68"/>
      <c r="G99" s="106" t="s">
        <v>26</v>
      </c>
      <c r="H99" s="106" t="s">
        <v>22</v>
      </c>
      <c r="I99" s="107">
        <f t="shared" ca="1" si="15"/>
        <v>3.7673113722044906</v>
      </c>
      <c r="J99" s="107"/>
      <c r="K99" s="106" t="s">
        <v>23</v>
      </c>
      <c r="L99" s="108">
        <v>1</v>
      </c>
      <c r="M99" s="109">
        <f t="shared" si="16"/>
        <v>43739</v>
      </c>
      <c r="N99" s="104" t="str">
        <f t="shared" si="10"/>
        <v/>
      </c>
      <c r="O99" s="106"/>
      <c r="P99" s="106" t="str">
        <f t="shared" si="13"/>
        <v>=</v>
      </c>
      <c r="Q99" s="106"/>
      <c r="R99" s="110" t="str">
        <f t="shared" si="12"/>
        <v>Quarterly Commodity Prices_Nov-2017dummy</v>
      </c>
    </row>
  </sheetData>
  <sheetProtection formatCells="0" formatColumns="0" formatRows="0" insertColumns="0" insertRows="0" insertHyperlinks="0" deleteColumns="0" deleteRows="0" selectLockedCells="1" sort="0" autoFilter="0" pivotTables="0"/>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14</vt:i4>
      </vt:variant>
    </vt:vector>
  </HeadingPairs>
  <TitlesOfParts>
    <vt:vector size="19" baseType="lpstr">
      <vt:lpstr>Info</vt:lpstr>
      <vt:lpstr>Fixed inputs</vt:lpstr>
      <vt:lpstr>Commodity inputs and calcs</vt:lpstr>
      <vt:lpstr>Fuel adder inputs and calcs</vt:lpstr>
      <vt:lpstr>Commodity prices for PLEXOS</vt:lpstr>
      <vt:lpstr>coalCV</vt:lpstr>
      <vt:lpstr>EUR_DET</vt:lpstr>
      <vt:lpstr>'Commodity prices for PLEXOS'!Fuel_Output_Headers</vt:lpstr>
      <vt:lpstr>GasoilCV</vt:lpstr>
      <vt:lpstr>GBP_DET</vt:lpstr>
      <vt:lpstr>LSFOCV</vt:lpstr>
      <vt:lpstr>rngCarbonTaxDeterministic</vt:lpstr>
      <vt:lpstr>rngFuelPricesDeterministic</vt:lpstr>
      <vt:lpstr>rngFuels</vt:lpstr>
      <vt:lpstr>rngMarkets</vt:lpstr>
      <vt:lpstr>'Fuel adder inputs and calcs'!rngTotalAdder</vt:lpstr>
      <vt:lpstr>Synergen_Gas_Discount</vt:lpstr>
      <vt:lpstr>thtoGJ</vt:lpstr>
      <vt:lpstr>USD_DET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Luke Humphry</dc:creator>
  <cp:lastModifiedBy>Luke.Humphry</cp:lastModifiedBy>
  <cp:lastPrinted>2015-11-27T16:43:19Z</cp:lastPrinted>
  <dcterms:created xsi:type="dcterms:W3CDTF">2015-11-11T17:16:16Z</dcterms:created>
  <dcterms:modified xsi:type="dcterms:W3CDTF">2017-11-16T17:35:29Z</dcterms:modified>
</cp:coreProperties>
</file>